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fernandoastudillo/Dropbox/SFU PHD/Galapagos F.Astudillo/PAPERS THESIS/"/>
    </mc:Choice>
  </mc:AlternateContent>
  <bookViews>
    <workbookView xWindow="480" yWindow="460" windowWidth="24960" windowHeight="14740" tabRatio="500" firstSheet="1" activeTab="9"/>
  </bookViews>
  <sheets>
    <sheet name="PHYT CODES" sheetId="4" r:id="rId1"/>
    <sheet name="PHYT CLM_1" sheetId="5" r:id="rId2"/>
    <sheet name="PHYT CLM_2" sheetId="6" r:id="rId3"/>
    <sheet name="PHYT CLM_3" sheetId="7" r:id="rId4"/>
    <sheet name="PHYT CLM_4" sheetId="8" r:id="rId5"/>
    <sheet name="PHYT CLM_5 CARPINTERO" sheetId="9" r:id="rId6"/>
    <sheet name="PHYT CLM_6 MILL" sheetId="10" r:id="rId7"/>
    <sheet name="WOOD CHARCOAL" sheetId="3" r:id="rId8"/>
    <sheet name="MACRO" sheetId="1" r:id="rId9"/>
    <sheet name="PHYT COMPARATIVE" sheetId="2" r:id="rId10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" i="8" l="1"/>
  <c r="AG2" i="8"/>
  <c r="AS2" i="8"/>
  <c r="AP2" i="8"/>
  <c r="BZ2" i="8"/>
  <c r="N3" i="8"/>
  <c r="AG3" i="8"/>
  <c r="AS3" i="8"/>
  <c r="AP3" i="8"/>
  <c r="BZ3" i="8"/>
  <c r="N4" i="8"/>
  <c r="AG4" i="8"/>
  <c r="AS4" i="8"/>
  <c r="AP4" i="8"/>
  <c r="BZ4" i="8"/>
  <c r="N5" i="8"/>
  <c r="AG5" i="8"/>
  <c r="AS5" i="8"/>
  <c r="AP5" i="8"/>
  <c r="BZ5" i="8"/>
  <c r="N6" i="8"/>
  <c r="AG6" i="8"/>
  <c r="AS6" i="8"/>
  <c r="AP6" i="8"/>
  <c r="BZ6" i="8"/>
  <c r="N7" i="8"/>
  <c r="AG7" i="8"/>
  <c r="AS7" i="8"/>
  <c r="AP7" i="8"/>
  <c r="BZ7" i="8"/>
  <c r="N8" i="8"/>
  <c r="AG8" i="8"/>
  <c r="AS8" i="8"/>
  <c r="AP8" i="8"/>
  <c r="BZ8" i="8"/>
  <c r="N9" i="8"/>
  <c r="AG9" i="8"/>
  <c r="AS9" i="8"/>
  <c r="AP9" i="8"/>
  <c r="BZ9" i="8"/>
  <c r="N10" i="8"/>
  <c r="AG10" i="8"/>
  <c r="AS10" i="8"/>
  <c r="AP10" i="8"/>
  <c r="BZ10" i="8"/>
  <c r="N11" i="8"/>
  <c r="AG11" i="8"/>
  <c r="AS11" i="8"/>
  <c r="AP11" i="8"/>
  <c r="BZ11" i="8"/>
  <c r="N12" i="8"/>
  <c r="AG12" i="8"/>
  <c r="AS12" i="8"/>
  <c r="AP12" i="8"/>
  <c r="BZ12" i="8"/>
  <c r="N13" i="8"/>
  <c r="AG13" i="8"/>
  <c r="AS13" i="8"/>
  <c r="AP13" i="8"/>
  <c r="BZ13" i="8"/>
  <c r="N14" i="8"/>
  <c r="AG14" i="8"/>
  <c r="AS14" i="8"/>
  <c r="AP14" i="8"/>
  <c r="BZ14" i="8"/>
  <c r="BZ16" i="8"/>
  <c r="BY16" i="8"/>
  <c r="AW16" i="8"/>
  <c r="AX16" i="8"/>
  <c r="AY16" i="8"/>
  <c r="AZ16" i="8"/>
  <c r="BA16" i="8"/>
  <c r="BB16" i="8"/>
  <c r="BC16" i="8"/>
  <c r="BD16" i="8"/>
  <c r="BE16" i="8"/>
  <c r="BF16" i="8"/>
  <c r="BG16" i="8"/>
  <c r="BH16" i="8"/>
  <c r="BI16" i="8"/>
  <c r="BJ16" i="8"/>
  <c r="BK16" i="8"/>
  <c r="BL16" i="8"/>
  <c r="BN16" i="8"/>
  <c r="BO16" i="8"/>
  <c r="BP16" i="8"/>
  <c r="BQ16" i="8"/>
  <c r="BR16" i="8"/>
  <c r="BS16" i="8"/>
  <c r="BT16" i="8"/>
  <c r="BW16" i="8"/>
  <c r="C16" i="8"/>
  <c r="D16" i="8"/>
  <c r="E16" i="8"/>
  <c r="F16" i="8"/>
  <c r="G16" i="8"/>
  <c r="H16" i="8"/>
  <c r="I16" i="8"/>
  <c r="J16" i="8"/>
  <c r="K16" i="8"/>
  <c r="L16" i="8"/>
  <c r="M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H16" i="8"/>
  <c r="AI16" i="8"/>
  <c r="AJ16" i="8"/>
  <c r="AK16" i="8"/>
  <c r="AL16" i="8"/>
  <c r="AM16" i="8"/>
  <c r="AN16" i="8"/>
  <c r="AO16" i="8"/>
  <c r="AQ16" i="8"/>
  <c r="AR16" i="8"/>
  <c r="AT16" i="8"/>
  <c r="AU16" i="8"/>
  <c r="AV16" i="8"/>
  <c r="BV16" i="8"/>
  <c r="BU2" i="8"/>
  <c r="BU3" i="8"/>
  <c r="BU4" i="8"/>
  <c r="BU5" i="8"/>
  <c r="BU6" i="8"/>
  <c r="BU7" i="8"/>
  <c r="BU8" i="8"/>
  <c r="BU9" i="8"/>
  <c r="BU10" i="8"/>
  <c r="BU11" i="8"/>
  <c r="BU12" i="8"/>
  <c r="BU13" i="8"/>
  <c r="BU14" i="8"/>
  <c r="BU15" i="8"/>
  <c r="BU16" i="8"/>
  <c r="BM16" i="8"/>
  <c r="AS16" i="8"/>
  <c r="AP16" i="8"/>
  <c r="AG16" i="8"/>
  <c r="N16" i="8"/>
  <c r="BW15" i="8"/>
  <c r="BV15" i="8"/>
  <c r="CC14" i="8"/>
  <c r="CD14" i="8"/>
  <c r="CE14" i="8"/>
  <c r="CA14" i="8"/>
  <c r="BV14" i="8"/>
  <c r="BW14" i="8"/>
  <c r="BX14" i="8"/>
  <c r="CC13" i="8"/>
  <c r="CD13" i="8"/>
  <c r="CE13" i="8"/>
  <c r="CA13" i="8"/>
  <c r="BV13" i="8"/>
  <c r="BW13" i="8"/>
  <c r="BX13" i="8"/>
  <c r="CC12" i="8"/>
  <c r="CD12" i="8"/>
  <c r="CE12" i="8"/>
  <c r="CA12" i="8"/>
  <c r="BV12" i="8"/>
  <c r="BW12" i="8"/>
  <c r="BX12" i="8"/>
  <c r="CC11" i="8"/>
  <c r="CD11" i="8"/>
  <c r="CE11" i="8"/>
  <c r="CA11" i="8"/>
  <c r="BV11" i="8"/>
  <c r="BW11" i="8"/>
  <c r="BX11" i="8"/>
  <c r="CC10" i="8"/>
  <c r="CD10" i="8"/>
  <c r="CE10" i="8"/>
  <c r="CA10" i="8"/>
  <c r="BV10" i="8"/>
  <c r="BW10" i="8"/>
  <c r="BX10" i="8"/>
  <c r="CC9" i="8"/>
  <c r="CD9" i="8"/>
  <c r="CE9" i="8"/>
  <c r="CA9" i="8"/>
  <c r="BV9" i="8"/>
  <c r="BW9" i="8"/>
  <c r="BX9" i="8"/>
  <c r="CC8" i="8"/>
  <c r="CD8" i="8"/>
  <c r="CE8" i="8"/>
  <c r="CA8" i="8"/>
  <c r="BV8" i="8"/>
  <c r="BW8" i="8"/>
  <c r="BX8" i="8"/>
  <c r="CC7" i="8"/>
  <c r="CD7" i="8"/>
  <c r="CE7" i="8"/>
  <c r="CA7" i="8"/>
  <c r="BV7" i="8"/>
  <c r="BW7" i="8"/>
  <c r="BX7" i="8"/>
  <c r="CC6" i="8"/>
  <c r="CD6" i="8"/>
  <c r="CE6" i="8"/>
  <c r="CA6" i="8"/>
  <c r="BV6" i="8"/>
  <c r="BW6" i="8"/>
  <c r="BX6" i="8"/>
  <c r="CC5" i="8"/>
  <c r="CD5" i="8"/>
  <c r="CE5" i="8"/>
  <c r="CA5" i="8"/>
  <c r="BV5" i="8"/>
  <c r="BW5" i="8"/>
  <c r="BX5" i="8"/>
  <c r="CC4" i="8"/>
  <c r="CD4" i="8"/>
  <c r="CE4" i="8"/>
  <c r="CA4" i="8"/>
  <c r="BV4" i="8"/>
  <c r="BW4" i="8"/>
  <c r="BX4" i="8"/>
  <c r="CC3" i="8"/>
  <c r="CD3" i="8"/>
  <c r="CE3" i="8"/>
  <c r="CA3" i="8"/>
  <c r="BV3" i="8"/>
  <c r="BW3" i="8"/>
  <c r="BX3" i="8"/>
  <c r="CC2" i="8"/>
  <c r="CD2" i="8"/>
  <c r="CE2" i="8"/>
  <c r="CA2" i="8"/>
  <c r="BV2" i="8"/>
  <c r="BW2" i="8"/>
  <c r="BX2" i="8"/>
  <c r="N2" i="7"/>
  <c r="AG2" i="7"/>
  <c r="AS2" i="7"/>
  <c r="AP2" i="7"/>
  <c r="BX2" i="7"/>
  <c r="N3" i="7"/>
  <c r="AG3" i="7"/>
  <c r="AS3" i="7"/>
  <c r="AP3" i="7"/>
  <c r="BX3" i="7"/>
  <c r="N4" i="7"/>
  <c r="AG4" i="7"/>
  <c r="AS4" i="7"/>
  <c r="AP4" i="7"/>
  <c r="BX4" i="7"/>
  <c r="N5" i="7"/>
  <c r="AG5" i="7"/>
  <c r="AS5" i="7"/>
  <c r="AP5" i="7"/>
  <c r="BX5" i="7"/>
  <c r="N6" i="7"/>
  <c r="AG6" i="7"/>
  <c r="AS6" i="7"/>
  <c r="AP6" i="7"/>
  <c r="BX6" i="7"/>
  <c r="N7" i="7"/>
  <c r="AG7" i="7"/>
  <c r="AS7" i="7"/>
  <c r="AP7" i="7"/>
  <c r="BX7" i="7"/>
  <c r="N8" i="7"/>
  <c r="AG8" i="7"/>
  <c r="AS8" i="7"/>
  <c r="AP8" i="7"/>
  <c r="BX8" i="7"/>
  <c r="N9" i="7"/>
  <c r="AG9" i="7"/>
  <c r="AS9" i="7"/>
  <c r="AP9" i="7"/>
  <c r="BX9" i="7"/>
  <c r="N10" i="7"/>
  <c r="AG10" i="7"/>
  <c r="AS10" i="7"/>
  <c r="AP10" i="7"/>
  <c r="BX10" i="7"/>
  <c r="N11" i="7"/>
  <c r="AG11" i="7"/>
  <c r="AS11" i="7"/>
  <c r="AP11" i="7"/>
  <c r="BX11" i="7"/>
  <c r="N12" i="7"/>
  <c r="AG12" i="7"/>
  <c r="AS12" i="7"/>
  <c r="AP12" i="7"/>
  <c r="BX12" i="7"/>
  <c r="N13" i="7"/>
  <c r="AG13" i="7"/>
  <c r="AS13" i="7"/>
  <c r="AP13" i="7"/>
  <c r="BX13" i="7"/>
  <c r="N14" i="7"/>
  <c r="AG14" i="7"/>
  <c r="AS14" i="7"/>
  <c r="AP14" i="7"/>
  <c r="BX14" i="7"/>
  <c r="BX16" i="7"/>
  <c r="BW2" i="7"/>
  <c r="BW3" i="7"/>
  <c r="BW4" i="7"/>
  <c r="BW5" i="7"/>
  <c r="BW6" i="7"/>
  <c r="BW7" i="7"/>
  <c r="BW8" i="7"/>
  <c r="BW9" i="7"/>
  <c r="BW10" i="7"/>
  <c r="BW11" i="7"/>
  <c r="BW12" i="7"/>
  <c r="BW13" i="7"/>
  <c r="BW14" i="7"/>
  <c r="BW16" i="7"/>
  <c r="C16" i="7"/>
  <c r="D16" i="7"/>
  <c r="E16" i="7"/>
  <c r="F16" i="7"/>
  <c r="G16" i="7"/>
  <c r="H16" i="7"/>
  <c r="I16" i="7"/>
  <c r="J16" i="7"/>
  <c r="K16" i="7"/>
  <c r="L16" i="7"/>
  <c r="M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H16" i="7"/>
  <c r="AI16" i="7"/>
  <c r="AJ16" i="7"/>
  <c r="AK16" i="7"/>
  <c r="AL16" i="7"/>
  <c r="AM16" i="7"/>
  <c r="AN16" i="7"/>
  <c r="AO16" i="7"/>
  <c r="AQ16" i="7"/>
  <c r="AR16" i="7"/>
  <c r="AT16" i="7"/>
  <c r="AU16" i="7"/>
  <c r="BT16" i="7"/>
  <c r="BU2" i="7"/>
  <c r="BU3" i="7"/>
  <c r="BU4" i="7"/>
  <c r="BU5" i="7"/>
  <c r="BU6" i="7"/>
  <c r="BU7" i="7"/>
  <c r="BU8" i="7"/>
  <c r="BU9" i="7"/>
  <c r="BU10" i="7"/>
  <c r="BU11" i="7"/>
  <c r="BU12" i="7"/>
  <c r="BU13" i="7"/>
  <c r="BU14" i="7"/>
  <c r="BU16" i="7"/>
  <c r="BV16" i="7"/>
  <c r="BS2" i="7"/>
  <c r="BS3" i="7"/>
  <c r="BS4" i="7"/>
  <c r="BS5" i="7"/>
  <c r="BS6" i="7"/>
  <c r="BS7" i="7"/>
  <c r="BS8" i="7"/>
  <c r="BS9" i="7"/>
  <c r="BS10" i="7"/>
  <c r="BS11" i="7"/>
  <c r="BS12" i="7"/>
  <c r="BS13" i="7"/>
  <c r="BS14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S16" i="7"/>
  <c r="AP16" i="7"/>
  <c r="AG16" i="7"/>
  <c r="N16" i="7"/>
  <c r="BT15" i="7"/>
  <c r="CA14" i="7"/>
  <c r="BZ14" i="7"/>
  <c r="BY14" i="7"/>
  <c r="BT14" i="7"/>
  <c r="BV14" i="7"/>
  <c r="CA13" i="7"/>
  <c r="BZ13" i="7"/>
  <c r="BY13" i="7"/>
  <c r="BT13" i="7"/>
  <c r="BV13" i="7"/>
  <c r="CA12" i="7"/>
  <c r="BZ12" i="7"/>
  <c r="BY12" i="7"/>
  <c r="BT12" i="7"/>
  <c r="BV12" i="7"/>
  <c r="CA11" i="7"/>
  <c r="BZ11" i="7"/>
  <c r="BY11" i="7"/>
  <c r="BT11" i="7"/>
  <c r="BV11" i="7"/>
  <c r="CA10" i="7"/>
  <c r="BZ10" i="7"/>
  <c r="BY10" i="7"/>
  <c r="BT10" i="7"/>
  <c r="BV10" i="7"/>
  <c r="CA9" i="7"/>
  <c r="BZ9" i="7"/>
  <c r="BY9" i="7"/>
  <c r="BT9" i="7"/>
  <c r="BV9" i="7"/>
  <c r="CA8" i="7"/>
  <c r="BZ8" i="7"/>
  <c r="BY8" i="7"/>
  <c r="BT8" i="7"/>
  <c r="BV8" i="7"/>
  <c r="CA7" i="7"/>
  <c r="BZ7" i="7"/>
  <c r="BY7" i="7"/>
  <c r="BT7" i="7"/>
  <c r="BV7" i="7"/>
  <c r="CA6" i="7"/>
  <c r="BZ6" i="7"/>
  <c r="BY6" i="7"/>
  <c r="BT6" i="7"/>
  <c r="BV6" i="7"/>
  <c r="CA5" i="7"/>
  <c r="BZ5" i="7"/>
  <c r="BY5" i="7"/>
  <c r="BT5" i="7"/>
  <c r="BV5" i="7"/>
  <c r="CA4" i="7"/>
  <c r="BZ4" i="7"/>
  <c r="BY4" i="7"/>
  <c r="BT4" i="7"/>
  <c r="BV4" i="7"/>
  <c r="CA3" i="7"/>
  <c r="BZ3" i="7"/>
  <c r="BY3" i="7"/>
  <c r="BT3" i="7"/>
  <c r="BV3" i="7"/>
  <c r="CA2" i="7"/>
  <c r="BZ2" i="7"/>
  <c r="BY2" i="7"/>
  <c r="BT2" i="7"/>
  <c r="BV2" i="7"/>
  <c r="N2" i="6"/>
  <c r="AG2" i="6"/>
  <c r="AS2" i="6"/>
  <c r="AP2" i="6"/>
  <c r="BY2" i="6"/>
  <c r="N3" i="6"/>
  <c r="AG3" i="6"/>
  <c r="AS3" i="6"/>
  <c r="AP3" i="6"/>
  <c r="BY3" i="6"/>
  <c r="N4" i="6"/>
  <c r="AG4" i="6"/>
  <c r="AS4" i="6"/>
  <c r="AP4" i="6"/>
  <c r="BY4" i="6"/>
  <c r="N5" i="6"/>
  <c r="AG5" i="6"/>
  <c r="AS5" i="6"/>
  <c r="AP5" i="6"/>
  <c r="BY5" i="6"/>
  <c r="N6" i="6"/>
  <c r="AG6" i="6"/>
  <c r="AS6" i="6"/>
  <c r="AP6" i="6"/>
  <c r="BY6" i="6"/>
  <c r="N7" i="6"/>
  <c r="AG7" i="6"/>
  <c r="AS7" i="6"/>
  <c r="AP7" i="6"/>
  <c r="BY7" i="6"/>
  <c r="N8" i="6"/>
  <c r="AG8" i="6"/>
  <c r="AS8" i="6"/>
  <c r="AP8" i="6"/>
  <c r="BY8" i="6"/>
  <c r="N10" i="6"/>
  <c r="AG10" i="6"/>
  <c r="AS10" i="6"/>
  <c r="AP10" i="6"/>
  <c r="BY10" i="6"/>
  <c r="N13" i="6"/>
  <c r="AG13" i="6"/>
  <c r="AS13" i="6"/>
  <c r="AP13" i="6"/>
  <c r="BY13" i="6"/>
  <c r="BY15" i="6"/>
  <c r="BX15" i="6"/>
  <c r="C15" i="6"/>
  <c r="D15" i="6"/>
  <c r="E15" i="6"/>
  <c r="F15" i="6"/>
  <c r="G15" i="6"/>
  <c r="H15" i="6"/>
  <c r="I15" i="6"/>
  <c r="J15" i="6"/>
  <c r="K15" i="6"/>
  <c r="L15" i="6"/>
  <c r="M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H15" i="6"/>
  <c r="AI15" i="6"/>
  <c r="AJ15" i="6"/>
  <c r="AK15" i="6"/>
  <c r="AL15" i="6"/>
  <c r="AM15" i="6"/>
  <c r="AN15" i="6"/>
  <c r="AO15" i="6"/>
  <c r="AQ15" i="6"/>
  <c r="AR15" i="6"/>
  <c r="AT15" i="6"/>
  <c r="AU15" i="6"/>
  <c r="B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M15" i="6"/>
  <c r="BN15" i="6"/>
  <c r="BO15" i="6"/>
  <c r="BP15" i="6"/>
  <c r="BQ15" i="6"/>
  <c r="BR15" i="6"/>
  <c r="BV15" i="6"/>
  <c r="BW15" i="6"/>
  <c r="N9" i="6"/>
  <c r="N11" i="6"/>
  <c r="N12" i="6"/>
  <c r="N14" i="6"/>
  <c r="N15" i="6"/>
  <c r="AG9" i="6"/>
  <c r="AG11" i="6"/>
  <c r="AG12" i="6"/>
  <c r="AG14" i="6"/>
  <c r="AG15" i="6"/>
  <c r="AP9" i="6"/>
  <c r="AP11" i="6"/>
  <c r="AP12" i="6"/>
  <c r="AP14" i="6"/>
  <c r="AP15" i="6"/>
  <c r="AS9" i="6"/>
  <c r="AS11" i="6"/>
  <c r="AS12" i="6"/>
  <c r="AS14" i="6"/>
  <c r="AS15" i="6"/>
  <c r="BL15" i="6"/>
  <c r="BT15" i="6"/>
  <c r="BT14" i="6"/>
  <c r="CB14" i="6"/>
  <c r="CA14" i="6"/>
  <c r="BZ14" i="6"/>
  <c r="BV14" i="6"/>
  <c r="BW14" i="6"/>
  <c r="BT13" i="6"/>
  <c r="CB13" i="6"/>
  <c r="CA13" i="6"/>
  <c r="BZ13" i="6"/>
  <c r="BU13" i="6"/>
  <c r="BV13" i="6"/>
  <c r="BW13" i="6"/>
  <c r="BT12" i="6"/>
  <c r="CB12" i="6"/>
  <c r="CA12" i="6"/>
  <c r="BZ12" i="6"/>
  <c r="BU12" i="6"/>
  <c r="BV12" i="6"/>
  <c r="BW12" i="6"/>
  <c r="BT11" i="6"/>
  <c r="CB11" i="6"/>
  <c r="CA11" i="6"/>
  <c r="BZ11" i="6"/>
  <c r="BV11" i="6"/>
  <c r="BW11" i="6"/>
  <c r="BT10" i="6"/>
  <c r="CB10" i="6"/>
  <c r="CA10" i="6"/>
  <c r="BZ10" i="6"/>
  <c r="BU10" i="6"/>
  <c r="BV10" i="6"/>
  <c r="BW10" i="6"/>
  <c r="BT9" i="6"/>
  <c r="CB9" i="6"/>
  <c r="CA9" i="6"/>
  <c r="BZ9" i="6"/>
  <c r="BU9" i="6"/>
  <c r="BV9" i="6"/>
  <c r="BW9" i="6"/>
  <c r="BT8" i="6"/>
  <c r="CB8" i="6"/>
  <c r="CA8" i="6"/>
  <c r="BZ8" i="6"/>
  <c r="BU8" i="6"/>
  <c r="BV8" i="6"/>
  <c r="BW8" i="6"/>
  <c r="BT7" i="6"/>
  <c r="CB7" i="6"/>
  <c r="CA7" i="6"/>
  <c r="BZ7" i="6"/>
  <c r="BU7" i="6"/>
  <c r="BV7" i="6"/>
  <c r="BW7" i="6"/>
  <c r="BT6" i="6"/>
  <c r="CB6" i="6"/>
  <c r="CA6" i="6"/>
  <c r="BZ6" i="6"/>
  <c r="BU6" i="6"/>
  <c r="BV6" i="6"/>
  <c r="BW6" i="6"/>
  <c r="BT5" i="6"/>
  <c r="CB5" i="6"/>
  <c r="CA5" i="6"/>
  <c r="BZ5" i="6"/>
  <c r="BU5" i="6"/>
  <c r="BV5" i="6"/>
  <c r="BW5" i="6"/>
  <c r="BT4" i="6"/>
  <c r="CB4" i="6"/>
  <c r="CA4" i="6"/>
  <c r="BZ4" i="6"/>
  <c r="BU4" i="6"/>
  <c r="BV4" i="6"/>
  <c r="BW4" i="6"/>
  <c r="BT3" i="6"/>
  <c r="CB3" i="6"/>
  <c r="CA3" i="6"/>
  <c r="BZ3" i="6"/>
  <c r="BU3" i="6"/>
  <c r="BV3" i="6"/>
  <c r="BW3" i="6"/>
  <c r="BT2" i="6"/>
  <c r="CB2" i="6"/>
  <c r="CA2" i="6"/>
  <c r="BZ2" i="6"/>
  <c r="BU2" i="6"/>
  <c r="BV2" i="6"/>
  <c r="BW2" i="6"/>
  <c r="CH2" i="5"/>
  <c r="CH3" i="5"/>
  <c r="CH4" i="5"/>
  <c r="CH5" i="5"/>
  <c r="CH6" i="5"/>
  <c r="CH7" i="5"/>
  <c r="CH8" i="5"/>
  <c r="CH9" i="5"/>
  <c r="CH10" i="5"/>
  <c r="CH11" i="5"/>
  <c r="CH12" i="5"/>
  <c r="CH13" i="5"/>
  <c r="CH14" i="5"/>
  <c r="CH15" i="5"/>
  <c r="N2" i="5"/>
  <c r="AG2" i="5"/>
  <c r="AS2" i="5"/>
  <c r="AP2" i="5"/>
  <c r="CA2" i="5"/>
  <c r="N3" i="5"/>
  <c r="AG3" i="5"/>
  <c r="AS3" i="5"/>
  <c r="AP3" i="5"/>
  <c r="CA3" i="5"/>
  <c r="N4" i="5"/>
  <c r="AG4" i="5"/>
  <c r="AS4" i="5"/>
  <c r="AP4" i="5"/>
  <c r="CA4" i="5"/>
  <c r="N5" i="5"/>
  <c r="AG5" i="5"/>
  <c r="AS5" i="5"/>
  <c r="AP5" i="5"/>
  <c r="CA5" i="5"/>
  <c r="N6" i="5"/>
  <c r="AG6" i="5"/>
  <c r="AS6" i="5"/>
  <c r="AP6" i="5"/>
  <c r="CA6" i="5"/>
  <c r="N7" i="5"/>
  <c r="AG7" i="5"/>
  <c r="AS7" i="5"/>
  <c r="AP7" i="5"/>
  <c r="CA7" i="5"/>
  <c r="N8" i="5"/>
  <c r="AG8" i="5"/>
  <c r="AS8" i="5"/>
  <c r="AP8" i="5"/>
  <c r="CA8" i="5"/>
  <c r="N9" i="5"/>
  <c r="AG9" i="5"/>
  <c r="AS9" i="5"/>
  <c r="AP9" i="5"/>
  <c r="CA9" i="5"/>
  <c r="N10" i="5"/>
  <c r="AG10" i="5"/>
  <c r="AS10" i="5"/>
  <c r="AP10" i="5"/>
  <c r="CA10" i="5"/>
  <c r="N11" i="5"/>
  <c r="AG11" i="5"/>
  <c r="AS11" i="5"/>
  <c r="AP11" i="5"/>
  <c r="CA11" i="5"/>
  <c r="N12" i="5"/>
  <c r="AG12" i="5"/>
  <c r="AS12" i="5"/>
  <c r="AP12" i="5"/>
  <c r="CA12" i="5"/>
  <c r="CA15" i="5"/>
  <c r="BZ15" i="5"/>
  <c r="C15" i="5"/>
  <c r="D15" i="5"/>
  <c r="E15" i="5"/>
  <c r="F15" i="5"/>
  <c r="G15" i="5"/>
  <c r="H15" i="5"/>
  <c r="I15" i="5"/>
  <c r="J15" i="5"/>
  <c r="K15" i="5"/>
  <c r="L15" i="5"/>
  <c r="M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H15" i="5"/>
  <c r="AI15" i="5"/>
  <c r="AJ15" i="5"/>
  <c r="AK15" i="5"/>
  <c r="AL15" i="5"/>
  <c r="AM15" i="5"/>
  <c r="AN15" i="5"/>
  <c r="AO15" i="5"/>
  <c r="AQ15" i="5"/>
  <c r="AR15" i="5"/>
  <c r="AS13" i="5"/>
  <c r="AS14" i="5"/>
  <c r="AS15" i="5"/>
  <c r="AT15" i="5"/>
  <c r="AU15" i="5"/>
  <c r="AV15" i="5"/>
  <c r="BU15" i="5"/>
  <c r="BW15" i="5"/>
  <c r="AW15" i="5"/>
  <c r="AX15" i="5"/>
  <c r="AY15" i="5"/>
  <c r="AZ15" i="5"/>
  <c r="BA15" i="5"/>
  <c r="BB15" i="5"/>
  <c r="BC15" i="5"/>
  <c r="BD15" i="5"/>
  <c r="BE15" i="5"/>
  <c r="BF15" i="5"/>
  <c r="BG15" i="5"/>
  <c r="BH15" i="5"/>
  <c r="BI15" i="5"/>
  <c r="BJ15" i="5"/>
  <c r="BK15" i="5"/>
  <c r="BL15" i="5"/>
  <c r="BN15" i="5"/>
  <c r="BO15" i="5"/>
  <c r="BP15" i="5"/>
  <c r="BQ15" i="5"/>
  <c r="BR15" i="5"/>
  <c r="BS15" i="5"/>
  <c r="BT15" i="5"/>
  <c r="BX15" i="5"/>
  <c r="BY15" i="5"/>
  <c r="N13" i="5"/>
  <c r="N14" i="5"/>
  <c r="N15" i="5"/>
  <c r="AG13" i="5"/>
  <c r="AG14" i="5"/>
  <c r="AG15" i="5"/>
  <c r="AP13" i="5"/>
  <c r="AP14" i="5"/>
  <c r="AP15" i="5"/>
  <c r="BM15" i="5"/>
  <c r="BV15" i="5"/>
  <c r="BV14" i="5"/>
  <c r="CF14" i="5"/>
  <c r="CE14" i="5"/>
  <c r="CD14" i="5"/>
  <c r="CC14" i="5"/>
  <c r="CB14" i="5"/>
  <c r="BW14" i="5"/>
  <c r="BX14" i="5"/>
  <c r="BY14" i="5"/>
  <c r="BV13" i="5"/>
  <c r="CF13" i="5"/>
  <c r="CE13" i="5"/>
  <c r="CD13" i="5"/>
  <c r="CC13" i="5"/>
  <c r="CB13" i="5"/>
  <c r="BW13" i="5"/>
  <c r="BX13" i="5"/>
  <c r="BY13" i="5"/>
  <c r="BV12" i="5"/>
  <c r="CF12" i="5"/>
  <c r="CE12" i="5"/>
  <c r="CD12" i="5"/>
  <c r="CC12" i="5"/>
  <c r="CB12" i="5"/>
  <c r="BW12" i="5"/>
  <c r="BX12" i="5"/>
  <c r="BY12" i="5"/>
  <c r="BV11" i="5"/>
  <c r="CF11" i="5"/>
  <c r="CE11" i="5"/>
  <c r="CD11" i="5"/>
  <c r="CC11" i="5"/>
  <c r="CB11" i="5"/>
  <c r="BW11" i="5"/>
  <c r="BX11" i="5"/>
  <c r="BY11" i="5"/>
  <c r="BV10" i="5"/>
  <c r="CF10" i="5"/>
  <c r="CE10" i="5"/>
  <c r="CD10" i="5"/>
  <c r="CC10" i="5"/>
  <c r="CB10" i="5"/>
  <c r="BW10" i="5"/>
  <c r="BX10" i="5"/>
  <c r="BY10" i="5"/>
  <c r="BV9" i="5"/>
  <c r="CF9" i="5"/>
  <c r="CE9" i="5"/>
  <c r="CD9" i="5"/>
  <c r="CC9" i="5"/>
  <c r="CB9" i="5"/>
  <c r="BW9" i="5"/>
  <c r="BX9" i="5"/>
  <c r="BY9" i="5"/>
  <c r="BV8" i="5"/>
  <c r="CF8" i="5"/>
  <c r="CE8" i="5"/>
  <c r="CD8" i="5"/>
  <c r="CC8" i="5"/>
  <c r="CB8" i="5"/>
  <c r="BW8" i="5"/>
  <c r="BX8" i="5"/>
  <c r="BY8" i="5"/>
  <c r="BV7" i="5"/>
  <c r="CF7" i="5"/>
  <c r="CE7" i="5"/>
  <c r="CD7" i="5"/>
  <c r="CC7" i="5"/>
  <c r="CB7" i="5"/>
  <c r="BW7" i="5"/>
  <c r="BX7" i="5"/>
  <c r="BY7" i="5"/>
  <c r="BV6" i="5"/>
  <c r="CF6" i="5"/>
  <c r="CE6" i="5"/>
  <c r="CD6" i="5"/>
  <c r="CC6" i="5"/>
  <c r="CB6" i="5"/>
  <c r="BW6" i="5"/>
  <c r="BX6" i="5"/>
  <c r="BY6" i="5"/>
  <c r="BV5" i="5"/>
  <c r="CF5" i="5"/>
  <c r="CE5" i="5"/>
  <c r="CD5" i="5"/>
  <c r="CC5" i="5"/>
  <c r="CB5" i="5"/>
  <c r="BW5" i="5"/>
  <c r="BX5" i="5"/>
  <c r="BY5" i="5"/>
  <c r="BV4" i="5"/>
  <c r="CF4" i="5"/>
  <c r="CE4" i="5"/>
  <c r="CD4" i="5"/>
  <c r="CC4" i="5"/>
  <c r="CB4" i="5"/>
  <c r="BW4" i="5"/>
  <c r="BX4" i="5"/>
  <c r="BY4" i="5"/>
  <c r="BV3" i="5"/>
  <c r="CF3" i="5"/>
  <c r="CE3" i="5"/>
  <c r="CD3" i="5"/>
  <c r="CC3" i="5"/>
  <c r="CB3" i="5"/>
  <c r="BW3" i="5"/>
  <c r="BX3" i="5"/>
  <c r="BY3" i="5"/>
  <c r="BV2" i="5"/>
  <c r="CF2" i="5"/>
  <c r="CE2" i="5"/>
  <c r="CD2" i="5"/>
  <c r="CC2" i="5"/>
  <c r="CB2" i="5"/>
  <c r="BW2" i="5"/>
  <c r="BX2" i="5"/>
  <c r="BY2" i="5"/>
  <c r="U74" i="3"/>
  <c r="T74" i="3"/>
  <c r="R74" i="3"/>
  <c r="Q73" i="3"/>
  <c r="Q74" i="3"/>
  <c r="P74" i="3"/>
  <c r="O74" i="3"/>
  <c r="N74" i="3"/>
  <c r="M74" i="3"/>
  <c r="L6" i="3"/>
  <c r="L11" i="3"/>
  <c r="L15" i="3"/>
  <c r="L16" i="3"/>
  <c r="L17" i="3"/>
  <c r="L19" i="3"/>
  <c r="L22" i="3"/>
  <c r="L32" i="3"/>
  <c r="L36" i="3"/>
  <c r="L43" i="3"/>
  <c r="L50" i="3"/>
  <c r="L56" i="3"/>
  <c r="L62" i="3"/>
  <c r="L64" i="3"/>
  <c r="L65" i="3"/>
  <c r="L67" i="3"/>
  <c r="L74" i="3"/>
  <c r="K74" i="3"/>
  <c r="J74" i="3"/>
  <c r="I74" i="3"/>
  <c r="H74" i="3"/>
  <c r="F74" i="3"/>
</calcChain>
</file>

<file path=xl/sharedStrings.xml><?xml version="1.0" encoding="utf-8"?>
<sst xmlns="http://schemas.openxmlformats.org/spreadsheetml/2006/main" count="1459" uniqueCount="686">
  <si>
    <t>Site</t>
  </si>
  <si>
    <t>Context</t>
  </si>
  <si>
    <t>Family</t>
  </si>
  <si>
    <t>Genus species</t>
  </si>
  <si>
    <t>Common name</t>
  </si>
  <si>
    <t>Charred</t>
  </si>
  <si>
    <t>Uncharred</t>
  </si>
  <si>
    <t>Uses</t>
  </si>
  <si>
    <t>Observations</t>
  </si>
  <si>
    <t>Carpintero</t>
  </si>
  <si>
    <t>Unit 1 level 7</t>
  </si>
  <si>
    <t>Poaceae</t>
  </si>
  <si>
    <t>Zea mays</t>
  </si>
  <si>
    <t>Corn</t>
  </si>
  <si>
    <t>Food</t>
  </si>
  <si>
    <t>Fabaceae</t>
  </si>
  <si>
    <t>Lens sp.</t>
  </si>
  <si>
    <t>Lentis cf</t>
  </si>
  <si>
    <t>Chenopodium cf.</t>
  </si>
  <si>
    <t>Malvaceae cf.</t>
  </si>
  <si>
    <t>Sida sp.</t>
  </si>
  <si>
    <t>Rosaceae</t>
  </si>
  <si>
    <t>Zea mays cf.</t>
  </si>
  <si>
    <t>Unidentified charred seeds</t>
  </si>
  <si>
    <t>Unit 2 80 cm</t>
  </si>
  <si>
    <t>Cyperaceae</t>
  </si>
  <si>
    <t>Prunus cf.</t>
  </si>
  <si>
    <t>Coffea</t>
  </si>
  <si>
    <t>Uncharred seed fragments</t>
  </si>
  <si>
    <t>Charred seed fragments</t>
  </si>
  <si>
    <t>Unit 2 level 4</t>
  </si>
  <si>
    <t>Prunus rosasea</t>
  </si>
  <si>
    <t>Asteraceae cf.</t>
  </si>
  <si>
    <t>Weed</t>
  </si>
  <si>
    <t>Brasechaceae/Fabaceae</t>
  </si>
  <si>
    <t>Midden</t>
  </si>
  <si>
    <t>Inga edulis??</t>
  </si>
  <si>
    <t>Guabo</t>
  </si>
  <si>
    <t>Carcel</t>
  </si>
  <si>
    <t>Unit 2 level 7</t>
  </si>
  <si>
    <t>Flat top</t>
  </si>
  <si>
    <t>Unidentified seed A</t>
  </si>
  <si>
    <t>Unit 1 level 6</t>
  </si>
  <si>
    <t>Fabaceae cf.</t>
  </si>
  <si>
    <t>Unit 1 level 8</t>
  </si>
  <si>
    <t>Chenopodiaceae</t>
  </si>
  <si>
    <t>Coiled embrio</t>
  </si>
  <si>
    <t>Weed not charred</t>
  </si>
  <si>
    <t>Unit 2 level 6</t>
  </si>
  <si>
    <t>No. ID</t>
  </si>
  <si>
    <t>Species / Common name</t>
  </si>
  <si>
    <t>Part</t>
  </si>
  <si>
    <t>Weight (g)</t>
  </si>
  <si>
    <t>Dry Weight (g)</t>
  </si>
  <si>
    <t>Muffle date</t>
  </si>
  <si>
    <t>Weight after muffle (g)</t>
  </si>
  <si>
    <t>3N HCL+3N HNO3 (2000 ul) date</t>
  </si>
  <si>
    <t>Weight after acid (g)</t>
  </si>
  <si>
    <t>H2O2 (2000 ul) date</t>
  </si>
  <si>
    <t>A.I.F. (g)</t>
  </si>
  <si>
    <t>Final Weight date</t>
  </si>
  <si>
    <t>GLP-PRG-PLB-REF1</t>
  </si>
  <si>
    <r>
      <t xml:space="preserve">Piscidia carthagenensis </t>
    </r>
    <r>
      <rPr>
        <sz val="10"/>
        <color theme="1"/>
        <rFont val="Calibri"/>
      </rPr>
      <t xml:space="preserve">Jacq. </t>
    </r>
    <r>
      <rPr>
        <i/>
        <sz val="10"/>
        <color theme="1"/>
        <rFont val="Calibri"/>
      </rPr>
      <t xml:space="preserve">/ </t>
    </r>
    <r>
      <rPr>
        <sz val="10"/>
        <color theme="1"/>
        <rFont val="Calibri"/>
      </rPr>
      <t>Matazarno</t>
    </r>
  </si>
  <si>
    <t>Leaves, stem</t>
  </si>
  <si>
    <t>Nov/13/2014</t>
  </si>
  <si>
    <t>0,133</t>
  </si>
  <si>
    <t>Apr/6/2015</t>
  </si>
  <si>
    <t>Apr/10/2015</t>
  </si>
  <si>
    <t>GLP-PRG-PLB-REF 2</t>
  </si>
  <si>
    <t>Myrtaceae</t>
  </si>
  <si>
    <r>
      <t xml:space="preserve">Psidium galapageium var. howellii / </t>
    </r>
    <r>
      <rPr>
        <sz val="10"/>
        <color theme="1"/>
        <rFont val="Calibri"/>
      </rPr>
      <t>Guayabillo</t>
    </r>
  </si>
  <si>
    <t>0,180</t>
  </si>
  <si>
    <t>GLP-PRG-PLB-REF 3</t>
  </si>
  <si>
    <r>
      <t xml:space="preserve">Syzygium jambos </t>
    </r>
    <r>
      <rPr>
        <sz val="10"/>
        <color rgb="FF000000"/>
        <rFont val="Calibri"/>
      </rPr>
      <t>(L.) Alston</t>
    </r>
    <r>
      <rPr>
        <i/>
        <sz val="10"/>
        <color rgb="FF000000"/>
        <rFont val="Calibri"/>
      </rPr>
      <t xml:space="preserve"> / </t>
    </r>
    <r>
      <rPr>
        <sz val="10"/>
        <color rgb="FF000000"/>
        <rFont val="Calibri"/>
      </rPr>
      <t>Pomarosa</t>
    </r>
  </si>
  <si>
    <t>Nov/16/2014</t>
  </si>
  <si>
    <t>0,147</t>
  </si>
  <si>
    <t>GLP-PRG-PLB-REF 4</t>
  </si>
  <si>
    <t>Asteraceae</t>
  </si>
  <si>
    <r>
      <t>Scalesia pedunculata var. indurata</t>
    </r>
    <r>
      <rPr>
        <sz val="10"/>
        <color rgb="FF000000"/>
        <rFont val="Calibri"/>
      </rPr>
      <t xml:space="preserve"> Howell</t>
    </r>
  </si>
  <si>
    <t>0,192</t>
  </si>
  <si>
    <t>~0.001</t>
  </si>
  <si>
    <t>GLP-PRG-PLB-REF 5</t>
  </si>
  <si>
    <r>
      <t>Saccharum officinarum</t>
    </r>
    <r>
      <rPr>
        <sz val="10"/>
        <color rgb="FF000000"/>
        <rFont val="Calibri"/>
      </rPr>
      <t xml:space="preserve"> L.</t>
    </r>
    <r>
      <rPr>
        <i/>
        <sz val="10"/>
        <color rgb="FF000000"/>
        <rFont val="Calibri"/>
      </rPr>
      <t xml:space="preserve"> / </t>
    </r>
    <r>
      <rPr>
        <sz val="10"/>
        <color rgb="FF000000"/>
        <rFont val="Calibri"/>
      </rPr>
      <t>Sugarcane</t>
    </r>
  </si>
  <si>
    <t>Leaves</t>
  </si>
  <si>
    <t>0,326</t>
  </si>
  <si>
    <t>GLP-PRG-PLB-REF 6</t>
  </si>
  <si>
    <r>
      <t xml:space="preserve">Saccharum officinarum </t>
    </r>
    <r>
      <rPr>
        <sz val="10"/>
        <color rgb="FF000000"/>
        <rFont val="Calibri"/>
      </rPr>
      <t xml:space="preserve">L. </t>
    </r>
    <r>
      <rPr>
        <i/>
        <sz val="10"/>
        <color rgb="FF000000"/>
        <rFont val="Calibri"/>
      </rPr>
      <t xml:space="preserve">/ </t>
    </r>
    <r>
      <rPr>
        <sz val="10"/>
        <color rgb="FF000000"/>
        <rFont val="Calibri"/>
      </rPr>
      <t>Sugarcane</t>
    </r>
  </si>
  <si>
    <t>0,437</t>
  </si>
  <si>
    <t>Mar/20/2015</t>
  </si>
  <si>
    <t>Mar 20 2015</t>
  </si>
  <si>
    <t>GLP-PRG-PLB-REF 7</t>
  </si>
  <si>
    <t>Rubiaceae</t>
  </si>
  <si>
    <r>
      <t>Coffea Arabica</t>
    </r>
    <r>
      <rPr>
        <sz val="10"/>
        <color rgb="FF000000"/>
        <rFont val="Calibri"/>
      </rPr>
      <t xml:space="preserve"> L.</t>
    </r>
    <r>
      <rPr>
        <i/>
        <sz val="10"/>
        <color rgb="FF000000"/>
        <rFont val="Calibri"/>
      </rPr>
      <t xml:space="preserve"> / Coffee</t>
    </r>
  </si>
  <si>
    <t>0,167</t>
  </si>
  <si>
    <t>GLP-PRG-PLB-REF 8</t>
  </si>
  <si>
    <r>
      <t>Psidium guajava</t>
    </r>
    <r>
      <rPr>
        <sz val="10"/>
        <color rgb="FF000000"/>
        <rFont val="Calibri"/>
      </rPr>
      <t xml:space="preserve"> L. / Guayaba</t>
    </r>
  </si>
  <si>
    <t>GLP-PRG-PLB-REF 9</t>
  </si>
  <si>
    <t> Leaves</t>
  </si>
  <si>
    <t>0,289</t>
  </si>
  <si>
    <t>GLP-PRG-PLB-REF 10</t>
  </si>
  <si>
    <r>
      <t xml:space="preserve">Panicum maximum  </t>
    </r>
    <r>
      <rPr>
        <sz val="10"/>
        <color rgb="FF000000"/>
        <rFont val="Calibri"/>
      </rPr>
      <t xml:space="preserve">Jacq. </t>
    </r>
    <r>
      <rPr>
        <i/>
        <sz val="10"/>
        <color rgb="FF000000"/>
        <rFont val="Calibri"/>
      </rPr>
      <t>/ Tanzania</t>
    </r>
  </si>
  <si>
    <t>Leaves, flower</t>
  </si>
  <si>
    <t>0,985</t>
  </si>
  <si>
    <t>0,140</t>
  </si>
  <si>
    <t>GLP-PRG-PLB-REF 11</t>
  </si>
  <si>
    <r>
      <t xml:space="preserve">Cynodon nlemfuensis  Vanderyst </t>
    </r>
    <r>
      <rPr>
        <sz val="10"/>
        <color rgb="FF000000"/>
        <rFont val="Calibri"/>
      </rPr>
      <t>???</t>
    </r>
    <r>
      <rPr>
        <i/>
        <sz val="10"/>
        <color rgb="FF000000"/>
        <rFont val="Calibri"/>
      </rPr>
      <t>/ ESTRELLA</t>
    </r>
  </si>
  <si>
    <t>GLP-PRG-PLB-REF 12</t>
  </si>
  <si>
    <r>
      <t xml:space="preserve">SABOYA Panicum maximum  </t>
    </r>
    <r>
      <rPr>
        <sz val="10"/>
        <color rgb="FF000000"/>
        <rFont val="Calibri"/>
      </rPr>
      <t>Jacq</t>
    </r>
  </si>
  <si>
    <t>0,205</t>
  </si>
  <si>
    <t>GLP-PRG-PLB-REF 13</t>
  </si>
  <si>
    <r>
      <t>Pennisetum purpureum</t>
    </r>
    <r>
      <rPr>
        <sz val="10"/>
        <color rgb="FF000000"/>
        <rFont val="Calibri"/>
      </rPr>
      <t xml:space="preserve"> Schum. / Elephant grass</t>
    </r>
  </si>
  <si>
    <t>0,243</t>
  </si>
  <si>
    <t>GLP-PRG-PLB-REF 14</t>
  </si>
  <si>
    <r>
      <t xml:space="preserve">Brachiaria decumbens </t>
    </r>
    <r>
      <rPr>
        <sz val="10"/>
        <color rgb="FF000000"/>
        <rFont val="Calibri"/>
      </rPr>
      <t xml:space="preserve">Stapf / </t>
    </r>
    <r>
      <rPr>
        <i/>
        <sz val="10"/>
        <color rgb="FF000000"/>
        <rFont val="Calibri"/>
      </rPr>
      <t>BRAQUIARIA</t>
    </r>
  </si>
  <si>
    <t>0,165</t>
  </si>
  <si>
    <t>GLP-PRG-PLB-REF 15</t>
  </si>
  <si>
    <t>Rynchospora nervosa</t>
  </si>
  <si>
    <t>0,538</t>
  </si>
  <si>
    <t>0,061</t>
  </si>
  <si>
    <t>Apr/8/2015</t>
  </si>
  <si>
    <t>GLP-PRG-PLB-REF 16</t>
  </si>
  <si>
    <r>
      <t xml:space="preserve">Scleria melaleuca </t>
    </r>
    <r>
      <rPr>
        <sz val="10"/>
        <color rgb="FF000000"/>
        <rFont val="Calibri"/>
      </rPr>
      <t xml:space="preserve"> Rchb. Ex Schltdl. &amp; Cham. / Cortadera</t>
    </r>
  </si>
  <si>
    <t>0,393</t>
  </si>
  <si>
    <t>GLP-PRG-PLB-REF 17</t>
  </si>
  <si>
    <r>
      <t>Eleusine indica</t>
    </r>
    <r>
      <rPr>
        <sz val="10"/>
        <color rgb="FF000000"/>
        <rFont val="Calibri"/>
      </rPr>
      <t>.</t>
    </r>
  </si>
  <si>
    <t>0,092</t>
  </si>
  <si>
    <t>GLP-PRG-PLB--REF 18</t>
  </si>
  <si>
    <t>Eragrostis amabilis</t>
  </si>
  <si>
    <t>0,094</t>
  </si>
  <si>
    <t>GLP-PRG-PLB-REF 19</t>
  </si>
  <si>
    <r>
      <t xml:space="preserve">Digitaria </t>
    </r>
    <r>
      <rPr>
        <sz val="10"/>
        <color rgb="FF000000"/>
        <rFont val="Calibri"/>
      </rPr>
      <t xml:space="preserve"> sp</t>
    </r>
    <r>
      <rPr>
        <i/>
        <sz val="10"/>
        <color rgb="FF000000"/>
        <rFont val="Calibri"/>
      </rPr>
      <t>???</t>
    </r>
  </si>
  <si>
    <t>0,193</t>
  </si>
  <si>
    <t>GLP-PRG-PLB-REF 20</t>
  </si>
  <si>
    <t>Stenotaphrum secundatum</t>
  </si>
  <si>
    <t>0,141</t>
  </si>
  <si>
    <t>GLP-PRG-PLB-REF 21</t>
  </si>
  <si>
    <t>Bombaceae</t>
  </si>
  <si>
    <r>
      <t xml:space="preserve">Ceiba pentandra </t>
    </r>
    <r>
      <rPr>
        <sz val="10"/>
        <color theme="1"/>
        <rFont val="Calibri"/>
      </rPr>
      <t>(L.) Gaertn. / CEIBO</t>
    </r>
  </si>
  <si>
    <t>Leaves, stem, wood</t>
  </si>
  <si>
    <t>Jul/6/2015</t>
  </si>
  <si>
    <t>0,598</t>
  </si>
  <si>
    <t>Aug/10/2015</t>
  </si>
  <si>
    <t>Aug/11/2015</t>
  </si>
  <si>
    <t>Aug/14/2015</t>
  </si>
  <si>
    <t>GLP-PRG-PLB-REF 22</t>
  </si>
  <si>
    <t>Bambusa vulgaris var. vittata / Yellow Bamboo</t>
  </si>
  <si>
    <t>0,232</t>
  </si>
  <si>
    <t>Aug/17/2015</t>
  </si>
  <si>
    <t>GLP-PRG-PLB-REF 23</t>
  </si>
  <si>
    <r>
      <t>Bambusa vulgaris var. vulgaris /</t>
    </r>
    <r>
      <rPr>
        <sz val="10"/>
        <color theme="1"/>
        <rFont val="Calibri"/>
      </rPr>
      <t xml:space="preserve"> CAÑA VERDE</t>
    </r>
  </si>
  <si>
    <t>0,146</t>
  </si>
  <si>
    <t>GLP-PRG-PLB-REF 24</t>
  </si>
  <si>
    <t>Solanaceae</t>
  </si>
  <si>
    <t>Solanum cheesmaniae</t>
  </si>
  <si>
    <t>LEAVES, STEM</t>
  </si>
  <si>
    <t>0,961</t>
  </si>
  <si>
    <t>0,172</t>
  </si>
  <si>
    <t>GLP-PRG-PLB-REF 25</t>
  </si>
  <si>
    <t>Boraginaceae</t>
  </si>
  <si>
    <t>Tournefortia pubescens / LENGUA DE VACA</t>
  </si>
  <si>
    <t>0,159</t>
  </si>
  <si>
    <t>GLP-PRG-PLB-REF 26</t>
  </si>
  <si>
    <t>Urticaceae</t>
  </si>
  <si>
    <t>Laportea aestuans</t>
  </si>
  <si>
    <t>0,496</t>
  </si>
  <si>
    <t>0,118</t>
  </si>
  <si>
    <t>GLP-PRG-PLB-REF 27</t>
  </si>
  <si>
    <t>0,742</t>
  </si>
  <si>
    <t>0,204</t>
  </si>
  <si>
    <t>GLP-PRG-PLB-REF 28</t>
  </si>
  <si>
    <t>Euphorbiaceae</t>
  </si>
  <si>
    <r>
      <t>Aleurites moluccana  </t>
    </r>
    <r>
      <rPr>
        <sz val="10"/>
        <color rgb="FF666666"/>
        <rFont val="Calibri"/>
      </rPr>
      <t xml:space="preserve">(L.) Willd. / </t>
    </r>
    <r>
      <rPr>
        <i/>
        <sz val="10"/>
        <color theme="1"/>
        <rFont val="Calibri"/>
      </rPr>
      <t>TOCTE</t>
    </r>
  </si>
  <si>
    <t>LEAVES, STEM, WOOD</t>
  </si>
  <si>
    <t>0,198</t>
  </si>
  <si>
    <t>GLP-PRG-PLB-REF 29</t>
  </si>
  <si>
    <t>Croton scouleri var.</t>
  </si>
  <si>
    <t>0,250</t>
  </si>
  <si>
    <t>GLP-PRG-PLB-REF 30</t>
  </si>
  <si>
    <r>
      <t xml:space="preserve">Psychotria rufipes </t>
    </r>
    <r>
      <rPr>
        <sz val="10"/>
        <color theme="1"/>
        <rFont val="Calibri"/>
      </rPr>
      <t>Hook. f. /CAFETILLO</t>
    </r>
  </si>
  <si>
    <t>0,162</t>
  </si>
  <si>
    <t>GLP-PRG-PLB-REF 31</t>
  </si>
  <si>
    <t>Rutaceae</t>
  </si>
  <si>
    <t>Citrus paradisi  Macfad. / TORONJA</t>
  </si>
  <si>
    <t>Jul/10/2015</t>
  </si>
  <si>
    <t>0,444</t>
  </si>
  <si>
    <t>GLP-PRG-PLB-REF 32</t>
  </si>
  <si>
    <r>
      <t xml:space="preserve">Cordia lutea </t>
    </r>
    <r>
      <rPr>
        <b/>
        <sz val="10"/>
        <color theme="1"/>
        <rFont val="Calibri"/>
      </rPr>
      <t>Lam. / MUYUYO</t>
    </r>
  </si>
  <si>
    <t>0,351</t>
  </si>
  <si>
    <t>GLP-PRG-PLB-REF 33</t>
  </si>
  <si>
    <t>Mimosaseae</t>
  </si>
  <si>
    <t>Inga insignis  / GUABO</t>
  </si>
  <si>
    <t>WOOD</t>
  </si>
  <si>
    <t>-</t>
  </si>
  <si>
    <t>N/A</t>
  </si>
  <si>
    <t>n/a</t>
  </si>
  <si>
    <t>GLP-PRG-PLB-REF 34</t>
  </si>
  <si>
    <r>
      <t xml:space="preserve">Prosopis juliflora </t>
    </r>
    <r>
      <rPr>
        <b/>
        <sz val="10"/>
        <color theme="1"/>
        <rFont val="Calibri"/>
      </rPr>
      <t xml:space="preserve">(Sw.) </t>
    </r>
    <r>
      <rPr>
        <b/>
        <i/>
        <sz val="10"/>
        <color rgb="FF211C18"/>
        <rFont val="Calibri"/>
      </rPr>
      <t>/ ALGARROBO</t>
    </r>
  </si>
  <si>
    <t>Aug/12/2015</t>
  </si>
  <si>
    <t>GLP-PRG-PLB-REF 35</t>
  </si>
  <si>
    <t>Lauraceae</t>
  </si>
  <si>
    <t>AGUACATE / Persea americana  Mill.</t>
  </si>
  <si>
    <t>Aug/13/2015</t>
  </si>
  <si>
    <t>GLP-PRG-PLB-REF 36</t>
  </si>
  <si>
    <t>Cupressaceae</t>
  </si>
  <si>
    <t>Cupressus macrocarpa / CIPRES</t>
  </si>
  <si>
    <t>GLP-PRG-PLB-REF 37</t>
  </si>
  <si>
    <t>Zanthoxylum fagara / UNA DE GATO</t>
  </si>
  <si>
    <t>0,164</t>
  </si>
  <si>
    <t>GLP-PRG-PLB-REF 38</t>
  </si>
  <si>
    <t>Citrus sinensis  (L.) Osbeck / NARANJA</t>
  </si>
  <si>
    <t>NARANJA</t>
  </si>
  <si>
    <t>GLP-PRG-PLB-REF 39</t>
  </si>
  <si>
    <t>Tournefortia rufo‐sericea</t>
  </si>
  <si>
    <t>GLP-PRG-PLB-REF 40</t>
  </si>
  <si>
    <r>
      <t>Hippomane mancinella</t>
    </r>
    <r>
      <rPr>
        <sz val="10"/>
        <color theme="1"/>
        <rFont val="Calibri"/>
      </rPr>
      <t xml:space="preserve">  L. / </t>
    </r>
    <r>
      <rPr>
        <b/>
        <i/>
        <sz val="10"/>
        <color rgb="FF211C18"/>
        <rFont val="Calibri"/>
      </rPr>
      <t>MANZANILLO</t>
    </r>
  </si>
  <si>
    <t>GLP-PRG-PLB-REF 41</t>
  </si>
  <si>
    <t>Burseraceae</t>
  </si>
  <si>
    <t>Bursera graveolens  (Kunth) Triana &amp; Planch. - PALO SANTO</t>
  </si>
  <si>
    <t>GLP-PRG-PLB-REF 42</t>
  </si>
  <si>
    <t>Malvaceae</t>
  </si>
  <si>
    <r>
      <t xml:space="preserve">Gossypium darwinii </t>
    </r>
    <r>
      <rPr>
        <sz val="10"/>
        <color theme="1"/>
        <rFont val="Calibri"/>
      </rPr>
      <t>G. Watt</t>
    </r>
    <r>
      <rPr>
        <b/>
        <i/>
        <sz val="10"/>
        <color rgb="FF211C18"/>
        <rFont val="Calibri"/>
      </rPr>
      <t xml:space="preserve">  / ALGODON GALAPAGOS</t>
    </r>
  </si>
  <si>
    <t>GLP-PRG-PLB-REF 43 a</t>
  </si>
  <si>
    <t>Miconia robinsoniana  Cogn.</t>
  </si>
  <si>
    <t>LEAVES, STEM, FLOWER</t>
  </si>
  <si>
    <t>GLP-PRG-PLB-REF 43 b</t>
  </si>
  <si>
    <t>GLP-PRG-PLB-REF 44</t>
  </si>
  <si>
    <t>Moraceae</t>
  </si>
  <si>
    <t>Artocarpus altilis  / Frutipan</t>
  </si>
  <si>
    <t>Jul/13/2015</t>
  </si>
  <si>
    <t>Historial Ecology of the Galapagos Islands - CHARCOAL</t>
  </si>
  <si>
    <t>Island</t>
  </si>
  <si>
    <t>Area</t>
  </si>
  <si>
    <t>Depth (cm)</t>
  </si>
  <si>
    <t>Collected date</t>
  </si>
  <si>
    <t>Fragments examined</t>
  </si>
  <si>
    <t>Species</t>
  </si>
  <si>
    <t>Identified</t>
  </si>
  <si>
    <t>Possible</t>
  </si>
  <si>
    <t>Unidentified</t>
  </si>
  <si>
    <t>Size distribution</t>
  </si>
  <si>
    <t>Original Weight (g)</t>
  </si>
  <si>
    <t>Hard wood</t>
  </si>
  <si>
    <t>Soft wood</t>
  </si>
  <si>
    <t>Small fragment (g)</t>
  </si>
  <si>
    <t>Medium (g)</t>
  </si>
  <si>
    <t>Large (g)</t>
  </si>
  <si>
    <t>extra large (g)</t>
  </si>
  <si>
    <t>Date analized</t>
  </si>
  <si>
    <t>San Cristobal</t>
  </si>
  <si>
    <t>Unit1 Level2</t>
  </si>
  <si>
    <t xml:space="preserve">Piscidia carthagenensis </t>
  </si>
  <si>
    <t>0,0,5,0</t>
  </si>
  <si>
    <t>Unit2 level3</t>
  </si>
  <si>
    <t>0,0,1,1</t>
  </si>
  <si>
    <t>Unit3 level2</t>
  </si>
  <si>
    <t>2,3,2,5</t>
  </si>
  <si>
    <t>Light fraction &gt;0.250mm</t>
  </si>
  <si>
    <t xml:space="preserve">Psidium galapageium </t>
  </si>
  <si>
    <t>0,0,2,0</t>
  </si>
  <si>
    <t>Hippomane mancinella/Croton scouleri cf</t>
  </si>
  <si>
    <t>0,0,1,0</t>
  </si>
  <si>
    <t>UNDEF A</t>
  </si>
  <si>
    <t>3,0,0,0</t>
  </si>
  <si>
    <t>UNDEF A Pith REF2???</t>
  </si>
  <si>
    <t>Unit 2 level5</t>
  </si>
  <si>
    <t>0,1,3,4</t>
  </si>
  <si>
    <t>UNDEF A/Pith</t>
  </si>
  <si>
    <t>0,0,0,1</t>
  </si>
  <si>
    <r>
      <rPr>
        <sz val="12"/>
        <color theme="1"/>
        <rFont val="Calibri"/>
        <family val="2"/>
        <scheme val="minor"/>
      </rPr>
      <t xml:space="preserve">Bamboo </t>
    </r>
    <r>
      <rPr>
        <i/>
        <sz val="11"/>
        <color theme="1"/>
        <rFont val="Calibri"/>
        <family val="2"/>
        <scheme val="minor"/>
      </rPr>
      <t xml:space="preserve">Guadua </t>
    </r>
    <r>
      <rPr>
        <sz val="12"/>
        <color theme="1"/>
        <rFont val="Calibri"/>
        <family val="2"/>
        <scheme val="minor"/>
      </rPr>
      <t>sp.</t>
    </r>
  </si>
  <si>
    <t>0,1,0,0</t>
  </si>
  <si>
    <t>Unit 1 level5</t>
  </si>
  <si>
    <t>(60-80)</t>
  </si>
  <si>
    <t>0,0,4,3</t>
  </si>
  <si>
    <t>Pier</t>
  </si>
  <si>
    <t>2 m below sea</t>
  </si>
  <si>
    <t>0,0,0,2</t>
  </si>
  <si>
    <t>Dry wood PIER</t>
  </si>
  <si>
    <t>0,3,4,4</t>
  </si>
  <si>
    <t>CARCEL</t>
  </si>
  <si>
    <t xml:space="preserve"> </t>
  </si>
  <si>
    <t>0,0,3,5</t>
  </si>
  <si>
    <t>0,3,0,0</t>
  </si>
  <si>
    <t>Scalesia sp</t>
  </si>
  <si>
    <t>0,2,1,0</t>
  </si>
  <si>
    <t>Lee 2006</t>
  </si>
  <si>
    <t>Tocte??</t>
  </si>
  <si>
    <t>Unit1 level7</t>
  </si>
  <si>
    <t>5,4,1,4</t>
  </si>
  <si>
    <t>Scalesia sp.</t>
  </si>
  <si>
    <t>0,1,3,1</t>
  </si>
  <si>
    <t>Piscidia carthagenensis ??</t>
  </si>
  <si>
    <t>Hippomane/Croton scouleri cf</t>
  </si>
  <si>
    <t>0,1,3,0</t>
  </si>
  <si>
    <t>Unit2 Midden</t>
  </si>
  <si>
    <t>1,1,0,2</t>
  </si>
  <si>
    <t>Heavy frac &gt;4mm</t>
  </si>
  <si>
    <t>3,1,0,1</t>
  </si>
  <si>
    <r>
      <t xml:space="preserve">Scalesia </t>
    </r>
    <r>
      <rPr>
        <sz val="11"/>
        <color rgb="FF000000"/>
        <rFont val="Calibri"/>
        <family val="2"/>
        <scheme val="minor"/>
      </rPr>
      <t>sp</t>
    </r>
  </si>
  <si>
    <t>1,1,0,0</t>
  </si>
  <si>
    <t>Liese 2015, 1998, 1982</t>
  </si>
  <si>
    <t>Bursera graveloens cf. REF41</t>
  </si>
  <si>
    <t>0,2,0,0</t>
  </si>
  <si>
    <t>GOOD FOR PICS</t>
  </si>
  <si>
    <t>Croton scouleri cf.</t>
  </si>
  <si>
    <t>4,4,4,4</t>
  </si>
  <si>
    <t>Flotation heavy fr &gt;4mm</t>
  </si>
  <si>
    <t>1,0,0,0</t>
  </si>
  <si>
    <t>1,0,2,5</t>
  </si>
  <si>
    <t>Profile cleaning</t>
  </si>
  <si>
    <t>1,0,1,0</t>
  </si>
  <si>
    <t>Pinus sp</t>
  </si>
  <si>
    <t>Undef A</t>
  </si>
  <si>
    <t>Undef</t>
  </si>
  <si>
    <t>2,2,0,0</t>
  </si>
  <si>
    <t>3,2,3,1</t>
  </si>
  <si>
    <t>Flotation light fraction</t>
  </si>
  <si>
    <t>Pics</t>
  </si>
  <si>
    <t>0,1,0,1</t>
  </si>
  <si>
    <t>0,0,0,3</t>
  </si>
  <si>
    <t>0,1,1,0</t>
  </si>
  <si>
    <t>Ref 2??</t>
  </si>
  <si>
    <t>1,0,2,1</t>
  </si>
  <si>
    <t>1,2,1,3</t>
  </si>
  <si>
    <t>Undef pith and Scalesia</t>
  </si>
  <si>
    <t>Dicotyledonous Quercus sp</t>
  </si>
  <si>
    <t>Quercus sp?? OAK</t>
  </si>
  <si>
    <t>Schweingruber 1982, Hoadley 1990</t>
  </si>
  <si>
    <t>Unit2 level4</t>
  </si>
  <si>
    <t>70-90</t>
  </si>
  <si>
    <t>4,1,3,4</t>
  </si>
  <si>
    <t>1,2,0,0</t>
  </si>
  <si>
    <t>Possible Ref 1 and Pith</t>
  </si>
  <si>
    <t>Cateo1 level8</t>
  </si>
  <si>
    <t>48-53</t>
  </si>
  <si>
    <t>4,5,5,5</t>
  </si>
  <si>
    <t>Heavy fraction &gt;4mm</t>
  </si>
  <si>
    <t>Cateo2 level7</t>
  </si>
  <si>
    <t>30-40</t>
  </si>
  <si>
    <t>5,5,5,5</t>
  </si>
  <si>
    <t>4,4,3,5</t>
  </si>
  <si>
    <t>Light Fraction</t>
  </si>
  <si>
    <t>1,1,2,0</t>
  </si>
  <si>
    <t>2,3,4,3</t>
  </si>
  <si>
    <t>Big fragments for pics</t>
  </si>
  <si>
    <t>1,0,0,1</t>
  </si>
  <si>
    <t>Psidium galapageium??</t>
  </si>
  <si>
    <t>TOTAL</t>
  </si>
  <si>
    <t>TREES AND SHRUB PHYTOLITHS</t>
  </si>
  <si>
    <t>CODE FR</t>
  </si>
  <si>
    <t>Carinate facetate bulliform cell</t>
  </si>
  <si>
    <t>FR1</t>
  </si>
  <si>
    <t>Clavate facetate</t>
  </si>
  <si>
    <t>FR2</t>
  </si>
  <si>
    <t>Cylindric sulcate tracheid</t>
  </si>
  <si>
    <t>FR3</t>
  </si>
  <si>
    <t>Eliptical facetate</t>
  </si>
  <si>
    <t>FR4</t>
  </si>
  <si>
    <t>Eliptical rugulate</t>
  </si>
  <si>
    <t>FR5</t>
  </si>
  <si>
    <t>Fusiform equal</t>
  </si>
  <si>
    <t>FR6</t>
  </si>
  <si>
    <t>Globular sinuate</t>
  </si>
  <si>
    <t>FR7</t>
  </si>
  <si>
    <t>Hair base</t>
  </si>
  <si>
    <t>FR8</t>
  </si>
  <si>
    <t>Irregular equal</t>
  </si>
  <si>
    <t>FR9</t>
  </si>
  <si>
    <t xml:space="preserve">Mesophyl </t>
  </si>
  <si>
    <t>FR10</t>
  </si>
  <si>
    <t>Orbicular hair cell</t>
  </si>
  <si>
    <t>FR11</t>
  </si>
  <si>
    <t>Ovate equal</t>
  </si>
  <si>
    <t>FR12</t>
  </si>
  <si>
    <t>Ovate lacunose</t>
  </si>
  <si>
    <t>FR13</t>
  </si>
  <si>
    <t xml:space="preserve">Polyhendral </t>
  </si>
  <si>
    <t>FR14</t>
  </si>
  <si>
    <t>Stellate bulliform cell</t>
  </si>
  <si>
    <t>FR15</t>
  </si>
  <si>
    <t>Stellate linear</t>
  </si>
  <si>
    <t>FR16</t>
  </si>
  <si>
    <t>FR17</t>
  </si>
  <si>
    <t>Clavate columellate hair cell</t>
  </si>
  <si>
    <t>FR18</t>
  </si>
  <si>
    <t>Cylindric striate</t>
  </si>
  <si>
    <t>FR19</t>
  </si>
  <si>
    <t>Oblong columellate epidermal cell</t>
  </si>
  <si>
    <t>FR20</t>
  </si>
  <si>
    <t>Trapeziform echinate short cell</t>
  </si>
  <si>
    <t>FR21</t>
  </si>
  <si>
    <t>Acicular columellate hair cell</t>
  </si>
  <si>
    <t>FR22</t>
  </si>
  <si>
    <t>Acicular hair cell</t>
  </si>
  <si>
    <t>FR23</t>
  </si>
  <si>
    <t>Heliconia Phytoliths</t>
  </si>
  <si>
    <t>FR 24</t>
  </si>
  <si>
    <t>Tissue Platelet Asteraceae</t>
  </si>
  <si>
    <t>GRASS PHYTOLITHS</t>
  </si>
  <si>
    <t>CODE GRS</t>
  </si>
  <si>
    <t>Scutiform lanceolate</t>
  </si>
  <si>
    <t>GRS1</t>
  </si>
  <si>
    <t>Bilobate concave outer margin long shaft var. A</t>
  </si>
  <si>
    <t>GRS2</t>
  </si>
  <si>
    <t>Bilobate concave outer margin long shaft var. B</t>
  </si>
  <si>
    <t>GRS3</t>
  </si>
  <si>
    <t>Bilobate concave outer margin short shaft var. A</t>
  </si>
  <si>
    <t>GRS4</t>
  </si>
  <si>
    <t>Bilobate concave outer margin short shaft var. B</t>
  </si>
  <si>
    <t>GRS5</t>
  </si>
  <si>
    <t>Bilobate concave outer margin short shaft var. C</t>
  </si>
  <si>
    <t>GRS6</t>
  </si>
  <si>
    <t>Bilobate concave outer margin short shaft var. D</t>
  </si>
  <si>
    <t>GRS7</t>
  </si>
  <si>
    <t>Bilobate concave outer margin short shaft var. E</t>
  </si>
  <si>
    <t>GRS8</t>
  </si>
  <si>
    <t>Bilobate concave outer margin short shaft var. F</t>
  </si>
  <si>
    <t>GRS9</t>
  </si>
  <si>
    <t>Bilobate concave outer margin short shaft var. G</t>
  </si>
  <si>
    <t>GRS10</t>
  </si>
  <si>
    <t>Bilobate concave outer margin short shaft var. H</t>
  </si>
  <si>
    <t>GRS11</t>
  </si>
  <si>
    <t>Cuneiform bulliform cell</t>
  </si>
  <si>
    <t>GRS12</t>
  </si>
  <si>
    <t>Elongate cylindrical pscilate long cell</t>
  </si>
  <si>
    <t>GRS13</t>
  </si>
  <si>
    <t>Elongate echinate long cell/Stomatal epidermis</t>
  </si>
  <si>
    <t>GRS14</t>
  </si>
  <si>
    <t>Epidermal Agregation</t>
  </si>
  <si>
    <t>GRS15</t>
  </si>
  <si>
    <t>Globular psilate bifid/pollen???</t>
  </si>
  <si>
    <t>GRS16</t>
  </si>
  <si>
    <t>Globular striate</t>
  </si>
  <si>
    <t>GRS17</t>
  </si>
  <si>
    <t>Glum</t>
  </si>
  <si>
    <t>GRS18</t>
  </si>
  <si>
    <t>GRS19</t>
  </si>
  <si>
    <t>Ovate radiating</t>
  </si>
  <si>
    <t>GRS20</t>
  </si>
  <si>
    <t xml:space="preserve">Papillae cell </t>
  </si>
  <si>
    <t>GRS21</t>
  </si>
  <si>
    <t>Parallepipedal bulliform cell</t>
  </si>
  <si>
    <t>GRS22</t>
  </si>
  <si>
    <t>Parallepipedal granulate bulliform cell</t>
  </si>
  <si>
    <t>GRS23</t>
  </si>
  <si>
    <t>Polyhendral</t>
  </si>
  <si>
    <t>GRS24</t>
  </si>
  <si>
    <t>Polylobate epidermal short cell var. A POOIDEAE</t>
  </si>
  <si>
    <t>GRS25</t>
  </si>
  <si>
    <t>Polylobate epidermal short cell var. B</t>
  </si>
  <si>
    <t>GRS26</t>
  </si>
  <si>
    <t>Polylobate epidermal short cell var. C</t>
  </si>
  <si>
    <t>GRS27</t>
  </si>
  <si>
    <t>Polylobate epidermal short cell var. D</t>
  </si>
  <si>
    <t>GRS28</t>
  </si>
  <si>
    <t>Polylobate epidermal short cell var. E</t>
  </si>
  <si>
    <t>GRS29</t>
  </si>
  <si>
    <t>Prickle</t>
  </si>
  <si>
    <t>GRS30</t>
  </si>
  <si>
    <t>Quadra-lobate epidermal short cell PANICUM</t>
  </si>
  <si>
    <t>GRS31</t>
  </si>
  <si>
    <t>Rondel short flat top</t>
  </si>
  <si>
    <t>GRS32</t>
  </si>
  <si>
    <t>Rondel short wavy-top</t>
  </si>
  <si>
    <t>GRS33</t>
  </si>
  <si>
    <t>Rondel tall conical triangular top</t>
  </si>
  <si>
    <t>GRS34</t>
  </si>
  <si>
    <t>Rondel tall narrow flat top BAMBUSOIDEAE</t>
  </si>
  <si>
    <t>GRS35</t>
  </si>
  <si>
    <t>Rondel tall pyramidal tri-top</t>
  </si>
  <si>
    <t>GRS36</t>
  </si>
  <si>
    <t>Rondel tall pyramidal ovate top BAMBUSOIDEAE</t>
  </si>
  <si>
    <t>GRS37</t>
  </si>
  <si>
    <t>Saddle epidermal short cell BAMBUSOIDEAE</t>
  </si>
  <si>
    <t>GRS38</t>
  </si>
  <si>
    <t>Saddle short epidermal short cell</t>
  </si>
  <si>
    <t>GRS39</t>
  </si>
  <si>
    <t>Stomatal phytoliths</t>
  </si>
  <si>
    <t>GRS40</t>
  </si>
  <si>
    <t>Parallepipedal echinate bulliform cell</t>
  </si>
  <si>
    <t>GRS41</t>
  </si>
  <si>
    <t>Achene Phytoliths Sedge/Kyllinga</t>
  </si>
  <si>
    <t>GRS 42</t>
  </si>
  <si>
    <t xml:space="preserve">Dendriform </t>
  </si>
  <si>
    <t>Grs 43</t>
  </si>
  <si>
    <t>ID</t>
  </si>
  <si>
    <t>Depth cm</t>
  </si>
  <si>
    <t>Scutiform lanceolate GRS1</t>
  </si>
  <si>
    <t>Bilobate concave outer margin long shaft var A GRS2</t>
  </si>
  <si>
    <t>Bilobate concave outer margin long shaft var B GRS3</t>
  </si>
  <si>
    <t>Bilobate concave outer margin short shaft var A GRS4</t>
  </si>
  <si>
    <t>Bilobate concave outer margin long shaft var B GRS5</t>
  </si>
  <si>
    <t>Bilobate concave outer margin long shaft var C GRS6</t>
  </si>
  <si>
    <t>Bilobate concave outer margin long shaft var D GRS7</t>
  </si>
  <si>
    <t>Bilobate concave outer margin long shaft var E GRS8</t>
  </si>
  <si>
    <t>Bilobate concave outer margin long shaft var F GRS9</t>
  </si>
  <si>
    <t>Bilobate concave outer margin long shaft var G GRS10</t>
  </si>
  <si>
    <t>Bilobate concave outer margin long shaft var H GRS11</t>
  </si>
  <si>
    <t>Bilobate total</t>
  </si>
  <si>
    <t>Cuneiform bulliform cell GRS12</t>
  </si>
  <si>
    <t>Elongate cylindrical pscilate long cell GRS13</t>
  </si>
  <si>
    <t>Elongate echinate long cell GRS14</t>
  </si>
  <si>
    <t>Epidermal aggregation GRS15</t>
  </si>
  <si>
    <t>Globular pscilateGRS16</t>
  </si>
  <si>
    <t>Glum phytoliths GRS18</t>
  </si>
  <si>
    <t>Mesophyl phytoliths GRS19</t>
  </si>
  <si>
    <t>Ovate radiating GRS20</t>
  </si>
  <si>
    <t>Papillae cell GRS21</t>
  </si>
  <si>
    <t>Parallepipedal bulliform cell GRS22</t>
  </si>
  <si>
    <t>Parallepipedal granulate bulliform cell GRS23</t>
  </si>
  <si>
    <t>Polyhendral phytoliths GRS24</t>
  </si>
  <si>
    <t>Polylobate epidermal short cell var A GRS25</t>
  </si>
  <si>
    <t>Polylobate epidermal short cell var B GRS26</t>
  </si>
  <si>
    <t>Polylobate epidermal short cell var C GRS27</t>
  </si>
  <si>
    <t>Polylobate epidermal short cell var D GRS28</t>
  </si>
  <si>
    <t>Polylobate epidermal short cell var E GRS29</t>
  </si>
  <si>
    <t>Polylobate total</t>
  </si>
  <si>
    <t>Prickle GRS30</t>
  </si>
  <si>
    <t>Quadra-lobate epidermal short cell GRS31</t>
  </si>
  <si>
    <t>Rondel short flat top GRS32</t>
  </si>
  <si>
    <t>Rondel short wavy-top GRS33</t>
  </si>
  <si>
    <t>Rondel tall conical triangular top GRS34</t>
  </si>
  <si>
    <t>Rondel tall narrow flat top GRS35</t>
  </si>
  <si>
    <t>Rondel tall pyramidal tri-top GRS36</t>
  </si>
  <si>
    <t>Rondel tall pyramidal ovate top GRS37</t>
  </si>
  <si>
    <t>Rondel total</t>
  </si>
  <si>
    <t>Saddle epidermal short cell GRS38</t>
  </si>
  <si>
    <t>Saddle short epidermal short cell GRS39</t>
  </si>
  <si>
    <t>Saddle total</t>
  </si>
  <si>
    <t>Stomatal phytoliths GRS40</t>
  </si>
  <si>
    <t>Parallepipedal echinate bulliform cellGRS41</t>
  </si>
  <si>
    <t>Achene Phytoliths Sedge/Kyllinga GRS42</t>
  </si>
  <si>
    <t>Carinate facetate FR1</t>
  </si>
  <si>
    <t>Clavate facetate FR2</t>
  </si>
  <si>
    <t>Cylindric sulcate tracheid FR3</t>
  </si>
  <si>
    <t>Eliptical facetate FR4</t>
  </si>
  <si>
    <t>Eliptical rugulate FR5</t>
  </si>
  <si>
    <t>Fusiform equal FR6</t>
  </si>
  <si>
    <t>Globular sinuate FR7</t>
  </si>
  <si>
    <t>Hair base FR8</t>
  </si>
  <si>
    <t>Irregular equal FR9</t>
  </si>
  <si>
    <t>Mesophyl phytoliths FR10</t>
  </si>
  <si>
    <t>Orbicular hair cell FR11</t>
  </si>
  <si>
    <t>Ovate equal FR12</t>
  </si>
  <si>
    <t>Ovate lacunose FR13</t>
  </si>
  <si>
    <t>Polyhendral phytoliths FR14</t>
  </si>
  <si>
    <t>Stellate bulliform cell FR15</t>
  </si>
  <si>
    <t>FR 16</t>
  </si>
  <si>
    <t>Non Diagnostic/Undef</t>
  </si>
  <si>
    <t>Clavate columellate hair cell FR18</t>
  </si>
  <si>
    <t>Cylindric striate FR19</t>
  </si>
  <si>
    <t>Oblong columellate epidermal cell FR20</t>
  </si>
  <si>
    <t>Trapeziform echinate short cell FR21</t>
  </si>
  <si>
    <t>Acicular columellate hair cell FR22</t>
  </si>
  <si>
    <t>Acicular hair cell FR23</t>
  </si>
  <si>
    <t>Heliconia Phytoliths FR24</t>
  </si>
  <si>
    <t>Stypa</t>
  </si>
  <si>
    <t>Total</t>
  </si>
  <si>
    <t>Total grass</t>
  </si>
  <si>
    <t>Total Forest</t>
  </si>
  <si>
    <t>Ratio D/I TOTAL</t>
  </si>
  <si>
    <t>D</t>
  </si>
  <si>
    <t>P</t>
  </si>
  <si>
    <t>GDC</t>
  </si>
  <si>
    <t>Ratios D/P</t>
  </si>
  <si>
    <t>D/P</t>
  </si>
  <si>
    <t>% D</t>
  </si>
  <si>
    <t>% P</t>
  </si>
  <si>
    <t>Elongate</t>
  </si>
  <si>
    <t>GLP-PRG-PLB-CLM1_0</t>
  </si>
  <si>
    <t>GLP-PRG-PLB-CLM1_5</t>
  </si>
  <si>
    <t>GLP-PRG-PLB-CLM1_10</t>
  </si>
  <si>
    <t>GLP-PRG-PLB-CLM1_15</t>
  </si>
  <si>
    <t>GLP-PRG-PLB-CLM1_20</t>
  </si>
  <si>
    <t>GLP-PRG-PLB-CLM1_25</t>
  </si>
  <si>
    <t>GLP-PRG-PLB-CLM1_30</t>
  </si>
  <si>
    <t>GLP-PRG-PLB-CLM1_35</t>
  </si>
  <si>
    <t>GLP-PRG-PLB-CLM1_40</t>
  </si>
  <si>
    <t>GLP-PRG-PLB-CLM1_45</t>
  </si>
  <si>
    <t>GLP-PRG-PLB-CLM1_50</t>
  </si>
  <si>
    <t>GLP-PRG-PLB-CLM1_55</t>
  </si>
  <si>
    <t>GLP-PRG-PLB-CLM1_60</t>
  </si>
  <si>
    <t>Depth</t>
  </si>
  <si>
    <t>Bilobates total</t>
  </si>
  <si>
    <t>Polylobates total</t>
  </si>
  <si>
    <t>Rondels total</t>
  </si>
  <si>
    <t>Non Diagnostic/undef</t>
  </si>
  <si>
    <t>TOTAL GRASSES</t>
  </si>
  <si>
    <t>TOTAL ARBOREAL</t>
  </si>
  <si>
    <t>RATIOS D/P TOTALS</t>
  </si>
  <si>
    <t>%P</t>
  </si>
  <si>
    <t>GLP-PRG-PLB-CLM2_0</t>
  </si>
  <si>
    <t>GLP-PRG-PLB-CLM2_5</t>
  </si>
  <si>
    <t>GLP-PRG-PLB-CLM2_10</t>
  </si>
  <si>
    <t>GLP-PRG-PLB-CLM2_15</t>
  </si>
  <si>
    <t>GLP-PRG-PLB-CLM2_20</t>
  </si>
  <si>
    <t>GLP-PRG-PLB-CLM2_25</t>
  </si>
  <si>
    <t>GLP-PRG-PLB-CLM2_30</t>
  </si>
  <si>
    <t>GLP-PRG-PLB-CLM2_35</t>
  </si>
  <si>
    <t>GLP-PRG-PLB-CLM2_40</t>
  </si>
  <si>
    <t>GLP-PRG-PLB-CLM2_45</t>
  </si>
  <si>
    <t>GLP-PRG-PLB-CLM2_50</t>
  </si>
  <si>
    <t>GLP-PRG-PLB-CLM2_55</t>
  </si>
  <si>
    <t>GLP-PRG-PLB-CLM2_60</t>
  </si>
  <si>
    <t>TOTAL GRASS</t>
  </si>
  <si>
    <t>TOTAL FOREST</t>
  </si>
  <si>
    <t>Ratio D/I</t>
  </si>
  <si>
    <t>GLP-PRG-PLB-CLM3_0</t>
  </si>
  <si>
    <t>GLP-PRG-PLB-CLM3_5</t>
  </si>
  <si>
    <t>GLP-PRG-PLB-CLM3_10</t>
  </si>
  <si>
    <t>GLP-PRG-PLB-CLM3_15</t>
  </si>
  <si>
    <t>GLP-PRG-PLB-CLM3_20</t>
  </si>
  <si>
    <t>GLP-PRG-PLB-CLM3_25</t>
  </si>
  <si>
    <t>GLP-PRG-PLB-CLM3_30</t>
  </si>
  <si>
    <t>GLP-PRG-PLB-CLM3_35</t>
  </si>
  <si>
    <t>GLP-PRG-PLB-CLM3_40</t>
  </si>
  <si>
    <t>GLP-PRG-PLB-CLM3_45</t>
  </si>
  <si>
    <t>GLP-PRG-PLB-CLM3_50</t>
  </si>
  <si>
    <t>GLP-PRG-PLB-CLM3_55</t>
  </si>
  <si>
    <t>GLP-PRG-PLB-CLM3_60</t>
  </si>
  <si>
    <t>Parallepipedal echinate bulliform cell GRS41</t>
  </si>
  <si>
    <t>Dendriform GRS43</t>
  </si>
  <si>
    <t>RATIOS D/I</t>
  </si>
  <si>
    <t>d/p</t>
  </si>
  <si>
    <t>GLP-PRG-PLB-CLM4_0</t>
  </si>
  <si>
    <t>GLP-PRG-PLB-CLM4_5</t>
  </si>
  <si>
    <t>GLP-PRG-PLB-CLM4_10</t>
  </si>
  <si>
    <t>GLP-PRG-PLB-CLM4_15</t>
  </si>
  <si>
    <t>GLP-PRG-PLB-CLM4_20</t>
  </si>
  <si>
    <t>GLP-PRG-PLB-CLM4_25</t>
  </si>
  <si>
    <t>GLP-PRG-PLB-CLM4_30</t>
  </si>
  <si>
    <t>GLP-PRG-PLB-CLM4_35</t>
  </si>
  <si>
    <t>GLP-PRG-PLB-CLM4_40</t>
  </si>
  <si>
    <t>GLP-PRG-PLB-CLM4_45</t>
  </si>
  <si>
    <t>GLP-PRG-PLB-CLM4_50</t>
  </si>
  <si>
    <t>GLP-PRG-PLB-CLM4_55</t>
  </si>
  <si>
    <t>GLP-PRG-PLB-CLM4_60</t>
  </si>
  <si>
    <t>MUSA</t>
  </si>
  <si>
    <t>Globular echinate FR7</t>
  </si>
  <si>
    <t>Sedge type</t>
  </si>
  <si>
    <t>Total panicoid</t>
  </si>
  <si>
    <t>Total arboreal</t>
  </si>
  <si>
    <t>GLP-PRG-PLB-CLM5_0</t>
  </si>
  <si>
    <t>GLP-PRG-PLB-CLM5_5</t>
  </si>
  <si>
    <t>GLP-PRG-PLB-CLM5_10</t>
  </si>
  <si>
    <t>GLP-PRG-PLB-CLM5_15</t>
  </si>
  <si>
    <t>GLP-PRG-PLB-CLM5_20</t>
  </si>
  <si>
    <t>GLP-PRG-PLB-CLM5_25</t>
  </si>
  <si>
    <t>GLP-PRG-PLB-CLM5_30</t>
  </si>
  <si>
    <t>GLP-PRG-PLB-CLM5_35</t>
  </si>
  <si>
    <t>GLP-PRG-PLB-CLM5_40</t>
  </si>
  <si>
    <t>GLP-PRG-PLB-CLM5_45</t>
  </si>
  <si>
    <t>GLP-PRG-PLB-CLM5_50</t>
  </si>
  <si>
    <t>GLP-PRG-PLB-CLM5_55</t>
  </si>
  <si>
    <t>GLP-PRG-PLB-CLM5_60</t>
  </si>
  <si>
    <t>GLP-PRG-PLB-CLM5_65</t>
  </si>
  <si>
    <t>GLP-PRG-PLB-CLM5_70</t>
  </si>
  <si>
    <t>GLP-PRG-PLB-CLM5_75</t>
  </si>
  <si>
    <t>GLP-PRG-PLB-CLM5_80</t>
  </si>
  <si>
    <t>GLP-PRG-PLB-CLM5_85</t>
  </si>
  <si>
    <t>Globular Echinate</t>
  </si>
  <si>
    <t>Palm</t>
  </si>
  <si>
    <t>RATIO D/I</t>
  </si>
  <si>
    <t>11.7959183673469:1</t>
  </si>
  <si>
    <t>7.42622950819672:1</t>
  </si>
  <si>
    <t>7.26:1</t>
  </si>
  <si>
    <t>1.60674157303371:1</t>
  </si>
  <si>
    <t>5.52777777777778:1</t>
  </si>
  <si>
    <t>0.909090909090909:1</t>
  </si>
  <si>
    <t>4.43181818181818:1</t>
  </si>
  <si>
    <t>0.720930232558139:1</t>
  </si>
  <si>
    <t>3.4:1</t>
  </si>
  <si>
    <t>1.90697674418605:1</t>
  </si>
  <si>
    <t>2.61363636363636:1</t>
  </si>
  <si>
    <t>GLP-PRG-PLB-CLM6_0</t>
  </si>
  <si>
    <t>GLP-PRG-PLB-CLM6_5</t>
  </si>
  <si>
    <t>GLP-PRG-PLB-CLM6_10</t>
  </si>
  <si>
    <t>GLP-PRG-PLB-CLM6_15</t>
  </si>
  <si>
    <t>GLP-PRG-PLB-CLM6_20</t>
  </si>
  <si>
    <t>GLP-PRG-PLB-CLM6_25</t>
  </si>
  <si>
    <t>GLP-PRG-PLB-CLM6_30</t>
  </si>
  <si>
    <t>GLP-PRG-PLB-CLM6_35</t>
  </si>
  <si>
    <t>GLP-PRG-PLB-CLM6_40</t>
  </si>
  <si>
    <t>GLP-PRG-PLB-CLM6_45</t>
  </si>
  <si>
    <t>GLP-PRG-PLB-CLM6_50</t>
  </si>
  <si>
    <t>GLP-PRG-PLB-CLM6_55</t>
  </si>
  <si>
    <t>GLP-PRG-PLB-CLM6_60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</si>
</sst>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color rgb="FF000000"/>
      <name val="Calibri"/>
    </font>
    <font>
      <i/>
      <sz val="10"/>
      <color theme="1"/>
      <name val="Calibri"/>
    </font>
    <font>
      <sz val="10"/>
      <color theme="1"/>
      <name val="Calibri"/>
    </font>
    <font>
      <i/>
      <sz val="10"/>
      <color rgb="FF000000"/>
      <name val="Calibri"/>
    </font>
    <font>
      <b/>
      <i/>
      <sz val="10"/>
      <color rgb="FF211C18"/>
      <name val="Calibri"/>
    </font>
    <font>
      <b/>
      <i/>
      <sz val="10"/>
      <color theme="1"/>
      <name val="Calibri"/>
    </font>
    <font>
      <i/>
      <sz val="10"/>
      <color rgb="FF211C18"/>
      <name val="Calibri"/>
    </font>
    <font>
      <sz val="10"/>
      <color rgb="FF666666"/>
      <name val="Calibri"/>
    </font>
    <font>
      <b/>
      <sz val="10"/>
      <color theme="1"/>
      <name val="Calibri"/>
    </font>
    <font>
      <i/>
      <sz val="11"/>
      <color theme="1"/>
      <name val="Calibri"/>
      <family val="2"/>
      <scheme val="minor"/>
    </font>
    <font>
      <b/>
      <i/>
      <sz val="11"/>
      <color rgb="FF211C18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theme="0" tint="-0.14999847407452621"/>
      </patternFill>
    </fill>
    <fill>
      <patternFill patternType="solid">
        <fgColor rgb="FFF2DCDB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1" xfId="0" applyFont="1" applyBorder="1"/>
    <xf numFmtId="0" fontId="0" fillId="2" borderId="0" xfId="0" applyFill="1"/>
    <xf numFmtId="0" fontId="0" fillId="0" borderId="2" xfId="0" applyBorder="1"/>
    <xf numFmtId="0" fontId="0" fillId="0" borderId="0" xfId="0" applyFill="1" applyBorder="1"/>
    <xf numFmtId="0" fontId="0" fillId="0" borderId="0" xfId="0" applyBorder="1"/>
    <xf numFmtId="0" fontId="0" fillId="0" borderId="2" xfId="0" applyFill="1" applyBorder="1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" fillId="0" borderId="0" xfId="0" applyFont="1"/>
    <xf numFmtId="1" fontId="0" fillId="0" borderId="0" xfId="0" applyNumberFormat="1"/>
    <xf numFmtId="1" fontId="1" fillId="0" borderId="0" xfId="0" applyNumberFormat="1" applyFont="1"/>
    <xf numFmtId="0" fontId="0" fillId="0" borderId="0" xfId="0" applyFont="1"/>
    <xf numFmtId="15" fontId="0" fillId="0" borderId="0" xfId="0" applyNumberFormat="1" applyFont="1"/>
    <xf numFmtId="1" fontId="0" fillId="0" borderId="0" xfId="0" applyNumberFormat="1" applyFont="1"/>
    <xf numFmtId="0" fontId="12" fillId="3" borderId="0" xfId="0" applyFont="1" applyFill="1"/>
    <xf numFmtId="0" fontId="0" fillId="3" borderId="0" xfId="0" applyFont="1" applyFill="1"/>
    <xf numFmtId="0" fontId="12" fillId="4" borderId="0" xfId="0" applyFont="1" applyFill="1"/>
    <xf numFmtId="0" fontId="0" fillId="4" borderId="0" xfId="0" applyFont="1" applyFill="1"/>
    <xf numFmtId="0" fontId="13" fillId="0" borderId="0" xfId="0" applyFont="1" applyFill="1"/>
    <xf numFmtId="0" fontId="0" fillId="0" borderId="0" xfId="0" applyFont="1" applyFill="1"/>
    <xf numFmtId="0" fontId="12" fillId="5" borderId="0" xfId="0" applyFont="1" applyFill="1"/>
    <xf numFmtId="0" fontId="0" fillId="5" borderId="0" xfId="0" applyFont="1" applyFill="1"/>
    <xf numFmtId="0" fontId="0" fillId="6" borderId="0" xfId="0" applyFont="1" applyFill="1"/>
    <xf numFmtId="0" fontId="14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1" fillId="0" borderId="9" xfId="0" applyFont="1" applyBorder="1"/>
    <xf numFmtId="0" fontId="0" fillId="0" borderId="10" xfId="0" applyBorder="1"/>
    <xf numFmtId="0" fontId="1" fillId="0" borderId="11" xfId="0" applyFont="1" applyBorder="1"/>
    <xf numFmtId="0" fontId="0" fillId="0" borderId="12" xfId="0" applyBorder="1"/>
    <xf numFmtId="0" fontId="1" fillId="0" borderId="11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0" fillId="0" borderId="14" xfId="0" applyFill="1" applyBorder="1"/>
    <xf numFmtId="0" fontId="0" fillId="0" borderId="14" xfId="0" applyBorder="1"/>
    <xf numFmtId="0" fontId="1" fillId="0" borderId="0" xfId="0" applyFont="1" applyFill="1" applyBorder="1"/>
    <xf numFmtId="0" fontId="1" fillId="0" borderId="13" xfId="0" applyFont="1" applyBorder="1"/>
    <xf numFmtId="0" fontId="0" fillId="0" borderId="13" xfId="0" applyBorder="1"/>
    <xf numFmtId="0" fontId="1" fillId="11" borderId="17" xfId="0" applyFont="1" applyFill="1" applyBorder="1"/>
    <xf numFmtId="0" fontId="1" fillId="0" borderId="17" xfId="0" applyFont="1" applyBorder="1"/>
    <xf numFmtId="0" fontId="1" fillId="11" borderId="14" xfId="0" applyFont="1" applyFill="1" applyBorder="1"/>
    <xf numFmtId="0" fontId="1" fillId="12" borderId="14" xfId="0" applyFont="1" applyFill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13" borderId="0" xfId="0" applyFont="1" applyFill="1"/>
    <xf numFmtId="0" fontId="1" fillId="11" borderId="0" xfId="0" applyFont="1" applyFill="1"/>
    <xf numFmtId="0" fontId="1" fillId="0" borderId="0" xfId="0" applyFont="1" applyFill="1"/>
    <xf numFmtId="0" fontId="0" fillId="0" borderId="15" xfId="0" applyBorder="1"/>
    <xf numFmtId="0" fontId="0" fillId="12" borderId="15" xfId="0" applyFill="1" applyBorder="1"/>
    <xf numFmtId="0" fontId="0" fillId="0" borderId="18" xfId="0" applyBorder="1"/>
    <xf numFmtId="0" fontId="0" fillId="0" borderId="18" xfId="0" applyFill="1" applyBorder="1"/>
    <xf numFmtId="0" fontId="0" fillId="14" borderId="15" xfId="0" applyFont="1" applyFill="1" applyBorder="1"/>
    <xf numFmtId="0" fontId="0" fillId="0" borderId="0" xfId="0" applyFill="1"/>
    <xf numFmtId="2" fontId="0" fillId="0" borderId="0" xfId="0" applyNumberFormat="1"/>
    <xf numFmtId="0" fontId="0" fillId="13" borderId="15" xfId="0" applyFont="1" applyFill="1" applyBorder="1"/>
    <xf numFmtId="0" fontId="0" fillId="12" borderId="0" xfId="0" applyFill="1"/>
    <xf numFmtId="0" fontId="0" fillId="10" borderId="15" xfId="0" applyFont="1" applyFill="1" applyBorder="1"/>
    <xf numFmtId="0" fontId="0" fillId="0" borderId="15" xfId="0" applyFont="1" applyBorder="1"/>
    <xf numFmtId="0" fontId="1" fillId="12" borderId="17" xfId="0" applyFont="1" applyFill="1" applyBorder="1"/>
    <xf numFmtId="0" fontId="1" fillId="0" borderId="18" xfId="0" applyFont="1" applyBorder="1" applyAlignment="1">
      <alignment horizontal="center"/>
    </xf>
    <xf numFmtId="0" fontId="0" fillId="0" borderId="19" xfId="0" applyBorder="1"/>
    <xf numFmtId="164" fontId="0" fillId="0" borderId="0" xfId="0" applyNumberFormat="1"/>
    <xf numFmtId="0" fontId="0" fillId="2" borderId="15" xfId="0" applyFill="1" applyBorder="1"/>
    <xf numFmtId="0" fontId="0" fillId="0" borderId="15" xfId="0" applyFill="1" applyBorder="1"/>
    <xf numFmtId="0" fontId="0" fillId="7" borderId="15" xfId="0" applyFill="1" applyBorder="1"/>
    <xf numFmtId="0" fontId="0" fillId="0" borderId="17" xfId="0" applyBorder="1"/>
    <xf numFmtId="0" fontId="0" fillId="12" borderId="17" xfId="0" applyFill="1" applyBorder="1"/>
    <xf numFmtId="0" fontId="1" fillId="0" borderId="18" xfId="0" applyFont="1" applyBorder="1"/>
    <xf numFmtId="0" fontId="1" fillId="0" borderId="10" xfId="0" applyFont="1" applyFill="1" applyBorder="1" applyAlignment="1">
      <alignment horizontal="center"/>
    </xf>
    <xf numFmtId="0" fontId="0" fillId="0" borderId="11" xfId="0" applyBorder="1"/>
    <xf numFmtId="0" fontId="15" fillId="0" borderId="0" xfId="0" applyFont="1"/>
    <xf numFmtId="0" fontId="16" fillId="0" borderId="17" xfId="0" applyFont="1" applyBorder="1"/>
    <xf numFmtId="0" fontId="16" fillId="0" borderId="13" xfId="0" applyFont="1" applyBorder="1"/>
    <xf numFmtId="0" fontId="16" fillId="15" borderId="13" xfId="0" applyFont="1" applyFill="1" applyBorder="1"/>
    <xf numFmtId="0" fontId="16" fillId="0" borderId="20" xfId="0" applyFont="1" applyBorder="1"/>
    <xf numFmtId="0" fontId="16" fillId="15" borderId="14" xfId="0" applyFont="1" applyFill="1" applyBorder="1"/>
    <xf numFmtId="0" fontId="16" fillId="0" borderId="14" xfId="0" applyFont="1" applyBorder="1"/>
    <xf numFmtId="0" fontId="16" fillId="0" borderId="13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15" xfId="0" applyFont="1" applyBorder="1"/>
    <xf numFmtId="0" fontId="15" fillId="0" borderId="11" xfId="0" applyFont="1" applyBorder="1"/>
    <xf numFmtId="0" fontId="15" fillId="15" borderId="11" xfId="0" applyFont="1" applyFill="1" applyBorder="1"/>
    <xf numFmtId="0" fontId="15" fillId="0" borderId="9" xfId="0" applyFont="1" applyBorder="1"/>
    <xf numFmtId="0" fontId="15" fillId="0" borderId="19" xfId="0" applyFont="1" applyBorder="1"/>
    <xf numFmtId="0" fontId="15" fillId="15" borderId="9" xfId="0" applyFont="1" applyFill="1" applyBorder="1"/>
    <xf numFmtId="0" fontId="15" fillId="15" borderId="19" xfId="0" applyFont="1" applyFill="1" applyBorder="1"/>
    <xf numFmtId="0" fontId="16" fillId="0" borderId="21" xfId="0" applyFont="1" applyBorder="1"/>
    <xf numFmtId="0" fontId="16" fillId="15" borderId="21" xfId="0" applyFont="1" applyFill="1" applyBorder="1"/>
    <xf numFmtId="0" fontId="16" fillId="0" borderId="22" xfId="0" applyFont="1" applyBorder="1"/>
    <xf numFmtId="0" fontId="16" fillId="15" borderId="22" xfId="0" applyFont="1" applyFill="1" applyBorder="1"/>
    <xf numFmtId="0" fontId="16" fillId="16" borderId="21" xfId="0" applyFont="1" applyFill="1" applyBorder="1"/>
    <xf numFmtId="0" fontId="16" fillId="0" borderId="21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5" fillId="17" borderId="15" xfId="0" applyFont="1" applyFill="1" applyBorder="1"/>
    <xf numFmtId="0" fontId="15" fillId="15" borderId="15" xfId="0" applyFont="1" applyFill="1" applyBorder="1"/>
    <xf numFmtId="0" fontId="15" fillId="17" borderId="23" xfId="0" applyFont="1" applyFill="1" applyBorder="1"/>
    <xf numFmtId="0" fontId="15" fillId="17" borderId="24" xfId="0" applyFont="1" applyFill="1" applyBorder="1"/>
    <xf numFmtId="0" fontId="15" fillId="18" borderId="15" xfId="0" applyFont="1" applyFill="1" applyBorder="1"/>
    <xf numFmtId="0" fontId="15" fillId="0" borderId="23" xfId="0" applyFont="1" applyBorder="1"/>
    <xf numFmtId="0" fontId="15" fillId="0" borderId="0" xfId="0" applyNumberFormat="1" applyFont="1"/>
    <xf numFmtId="0" fontId="15" fillId="15" borderId="0" xfId="0" applyFont="1" applyFill="1"/>
  </cellXfs>
  <cellStyles count="1">
    <cellStyle name="Normal" xfId="0" builtinId="0"/>
  </cellStyles>
  <dxfs count="23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solid">
          <fgColor indexed="64"/>
          <bgColor theme="5" tint="0.79998168889431442"/>
        </patternFill>
      </fill>
    </dxf>
    <dxf>
      <numFmt numFmtId="0" formatCode="General"/>
      <fill>
        <patternFill patternType="solid">
          <fgColor indexed="64"/>
          <bgColor theme="5" tint="0.79998168889431442"/>
        </patternFill>
      </fill>
    </dxf>
    <dxf>
      <numFmt numFmtId="0" formatCode="General"/>
      <fill>
        <patternFill patternType="solid">
          <fgColor indexed="64"/>
          <bgColor theme="5" tint="0.79998168889431442"/>
        </patternFill>
      </fill>
    </dxf>
    <dxf>
      <numFmt numFmtId="0" formatCode="General"/>
      <fill>
        <patternFill patternType="solid">
          <fgColor indexed="64"/>
          <bgColor theme="5" tint="0.79998168889431442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ables/table1.xml><?xml version="1.0" encoding="utf-8"?>
<table xmlns="http://schemas.openxmlformats.org/spreadsheetml/2006/main" id="1" name="Table6" displayName="Table6" ref="A3:B27" totalsRowShown="0" headerRowDxfId="232" headerRowBorderDxfId="230" tableBorderDxfId="231" totalsRowBorderDxfId="229">
  <autoFilter ref="A3:B27"/>
  <tableColumns count="2">
    <tableColumn id="1" name="Carinate facetate bulliform cell" dataDxfId="228"/>
    <tableColumn id="2" name="FR1" dataDxfId="22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7" displayName="Table7" ref="A30:B72" totalsRowShown="0" headerRowDxfId="226" headerRowBorderDxfId="224" tableBorderDxfId="225" totalsRowBorderDxfId="223">
  <autoFilter ref="A30:B72"/>
  <tableColumns count="2">
    <tableColumn id="1" name="Scutiform lanceolate" dataDxfId="222"/>
    <tableColumn id="2" name="GRS1" dataDxfId="22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le2" displayName="Table2" ref="B1:BU14" totalsRowShown="0" headerRowDxfId="220">
  <autoFilter ref="B1:BU14"/>
  <tableColumns count="72">
    <tableColumn id="1" name="Depth cm" dataDxfId="219"/>
    <tableColumn id="2" name="Scutiform lanceolate GRS1" dataDxfId="218"/>
    <tableColumn id="3" name="Bilobate concave outer margin long shaft var A GRS2" dataDxfId="217"/>
    <tableColumn id="4" name="Bilobate concave outer margin long shaft var B GRS3" dataDxfId="216"/>
    <tableColumn id="5" name="Bilobate concave outer margin short shaft var A GRS4" dataDxfId="215"/>
    <tableColumn id="6" name="Bilobate concave outer margin long shaft var B GRS5" dataDxfId="214"/>
    <tableColumn id="7" name="Bilobate concave outer margin long shaft var C GRS6" dataDxfId="213"/>
    <tableColumn id="8" name="Bilobate concave outer margin long shaft var D GRS7" dataDxfId="212"/>
    <tableColumn id="9" name="Bilobate concave outer margin long shaft var E GRS8" dataDxfId="211"/>
    <tableColumn id="10" name="Bilobate concave outer margin long shaft var F GRS9" dataDxfId="210"/>
    <tableColumn id="11" name="Bilobate concave outer margin long shaft var G GRS10" dataDxfId="209"/>
    <tableColumn id="12" name="Bilobate concave outer margin long shaft var H GRS11" dataDxfId="208"/>
    <tableColumn id="69" name="Bilobate total" dataDxfId="207">
      <calculatedColumnFormula>SUM(Table2[[#This Row],[Bilobate concave outer margin long shaft var A GRS2]:[Bilobate concave outer margin long shaft var H GRS11]])</calculatedColumnFormula>
    </tableColumn>
    <tableColumn id="13" name="Cuneiform bulliform cell GRS12" dataDxfId="206"/>
    <tableColumn id="14" name="Elongate cylindrical pscilate long cell GRS13" dataDxfId="205"/>
    <tableColumn id="15" name="Elongate echinate long cell GRS14" dataDxfId="204"/>
    <tableColumn id="16" name="Epidermal aggregation GRS15" dataDxfId="203"/>
    <tableColumn id="17" name="Globular pscilateGRS16" dataDxfId="202"/>
    <tableColumn id="18" name="GRS17" dataDxfId="201"/>
    <tableColumn id="19" name="Glum phytoliths GRS18" dataDxfId="200"/>
    <tableColumn id="20" name="Mesophyl phytoliths GRS19" dataDxfId="199"/>
    <tableColumn id="21" name="Ovate radiating GRS20" dataDxfId="198"/>
    <tableColumn id="22" name="Papillae cell GRS21" dataDxfId="197"/>
    <tableColumn id="23" name="Parallepipedal bulliform cell GRS22" dataDxfId="196"/>
    <tableColumn id="24" name="Parallepipedal granulate bulliform cell GRS23" dataDxfId="195"/>
    <tableColumn id="25" name="Polyhendral phytoliths GRS24" dataDxfId="194"/>
    <tableColumn id="26" name="Polylobate epidermal short cell var A GRS25" dataDxfId="193"/>
    <tableColumn id="27" name="Polylobate epidermal short cell var B GRS26" dataDxfId="192"/>
    <tableColumn id="28" name="Polylobate epidermal short cell var C GRS27" dataDxfId="191"/>
    <tableColumn id="29" name="Polylobate epidermal short cell var D GRS28" dataDxfId="190"/>
    <tableColumn id="30" name="Polylobate epidermal short cell var E GRS29" dataDxfId="189"/>
    <tableColumn id="70" name="Polylobate total" dataDxfId="188">
      <calculatedColumnFormula>SUM(Table2[[#This Row],[Polylobate epidermal short cell var A GRS25]:[Polylobate epidermal short cell var E GRS29]])</calculatedColumnFormula>
    </tableColumn>
    <tableColumn id="31" name="Prickle GRS30" dataDxfId="187"/>
    <tableColumn id="32" name="Quadra-lobate epidermal short cell GRS31" dataDxfId="186"/>
    <tableColumn id="33" name="Rondel short flat top GRS32" dataDxfId="185"/>
    <tableColumn id="34" name="Rondel short wavy-top GRS33" dataDxfId="184"/>
    <tableColumn id="35" name="Rondel tall conical triangular top GRS34" dataDxfId="183"/>
    <tableColumn id="36" name="Rondel tall narrow flat top GRS35" dataDxfId="182"/>
    <tableColumn id="37" name="Rondel tall pyramidal tri-top GRS36" dataDxfId="181"/>
    <tableColumn id="38" name="Rondel tall pyramidal ovate top GRS37" dataDxfId="180"/>
    <tableColumn id="71" name="Rondel total" dataDxfId="179">
      <calculatedColumnFormula>SUM(Table2[[#This Row],[Rondel short flat top GRS32]:[Rondel tall pyramidal ovate top GRS37]])</calculatedColumnFormula>
    </tableColumn>
    <tableColumn id="39" name="Saddle epidermal short cell GRS38" dataDxfId="178"/>
    <tableColumn id="40" name="Saddle short epidermal short cell GRS39" dataDxfId="177"/>
    <tableColumn id="72" name="Saddle total" dataDxfId="176">
      <calculatedColumnFormula>SUM(Table2[[#This Row],[Saddle epidermal short cell GRS38]:[Saddle short epidermal short cell GRS39]])</calculatedColumnFormula>
    </tableColumn>
    <tableColumn id="41" name="Stomatal phytoliths GRS40" dataDxfId="175"/>
    <tableColumn id="42" name="Parallepipedal echinate bulliform cellGRS41" dataDxfId="174"/>
    <tableColumn id="67" name="Achene Phytoliths Sedge/Kyllinga GRS42" dataDxfId="173"/>
    <tableColumn id="43" name="Carinate facetate FR1" dataDxfId="172"/>
    <tableColumn id="44" name="Clavate facetate FR2" dataDxfId="171"/>
    <tableColumn id="45" name="Cylindric sulcate tracheid FR3" dataDxfId="170"/>
    <tableColumn id="46" name="Eliptical facetate FR4" dataDxfId="169"/>
    <tableColumn id="47" name="Eliptical rugulate FR5" dataDxfId="168"/>
    <tableColumn id="48" name="Fusiform equal FR6" dataDxfId="167"/>
    <tableColumn id="49" name="Globular sinuate FR7" dataDxfId="166"/>
    <tableColumn id="50" name="Hair base FR8" dataDxfId="165"/>
    <tableColumn id="51" name="Irregular equal FR9" dataDxfId="164"/>
    <tableColumn id="52" name="Mesophyl phytoliths FR10" dataDxfId="163"/>
    <tableColumn id="53" name="Orbicular hair cell FR11" dataDxfId="162"/>
    <tableColumn id="54" name="Ovate equal FR12" dataDxfId="161"/>
    <tableColumn id="55" name="Ovate lacunose FR13" dataDxfId="160"/>
    <tableColumn id="56" name="Polyhendral phytoliths FR14" dataDxfId="159"/>
    <tableColumn id="57" name="Stellate bulliform cell FR15" dataDxfId="158"/>
    <tableColumn id="58" name="FR 16" dataDxfId="157"/>
    <tableColumn id="59" name="Non Diagnostic/Undef" dataDxfId="156"/>
    <tableColumn id="60" name="Clavate columellate hair cell FR18" dataDxfId="155"/>
    <tableColumn id="61" name="Cylindric striate FR19" dataDxfId="154"/>
    <tableColumn id="62" name="Oblong columellate epidermal cell FR20" dataDxfId="153"/>
    <tableColumn id="63" name="Trapeziform echinate short cell FR21" dataDxfId="152"/>
    <tableColumn id="64" name="Acicular columellate hair cell FR22" dataDxfId="151"/>
    <tableColumn id="65" name="Acicular hair cell FR23" dataDxfId="150"/>
    <tableColumn id="68" name="Heliconia Phytoliths FR24" dataDxfId="149"/>
    <tableColumn id="66" name="Stypa" dataDxfId="14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le5" displayName="Table5" ref="B1:BS14" totalsRowShown="0" headerRowDxfId="147" tableBorderDxfId="146">
  <autoFilter ref="B1:BS14"/>
  <tableColumns count="70">
    <tableColumn id="1" name="Depth" dataDxfId="145"/>
    <tableColumn id="2" name="Scutiform lanceolate GRS1" dataDxfId="144"/>
    <tableColumn id="3" name="Bilobate concave outer margin long shaft var A GRS2" dataDxfId="143"/>
    <tableColumn id="4" name="Bilobate concave outer margin long shaft var B GRS3" dataDxfId="142"/>
    <tableColumn id="5" name="Bilobate concave outer margin short shaft var A GRS4" dataDxfId="141"/>
    <tableColumn id="6" name="Bilobate concave outer margin long shaft var B GRS5" dataDxfId="140"/>
    <tableColumn id="7" name="Bilobate concave outer margin long shaft var C GRS6" dataDxfId="139"/>
    <tableColumn id="8" name="Bilobate concave outer margin long shaft var D GRS7" dataDxfId="138"/>
    <tableColumn id="9" name="Bilobate concave outer margin long shaft var E GRS8" dataDxfId="137"/>
    <tableColumn id="10" name="Bilobate concave outer margin long shaft var F GRS9" dataDxfId="136"/>
    <tableColumn id="11" name="Bilobate concave outer margin long shaft var G GRS10" dataDxfId="135"/>
    <tableColumn id="12" name="Bilobate concave outer margin long shaft var H GRS11" dataDxfId="134"/>
    <tableColumn id="67" name="Bilobates total" dataDxfId="133">
      <calculatedColumnFormula>SUM(Table5[[#This Row],[Bilobate concave outer margin long shaft var A GRS2]:[Bilobate concave outer margin long shaft var H GRS11]])</calculatedColumnFormula>
    </tableColumn>
    <tableColumn id="13" name="Cuneiform bulliform cell GRS12" dataDxfId="132"/>
    <tableColumn id="14" name="Elongate cylindrical pscilate long cell GRS13" dataDxfId="131"/>
    <tableColumn id="15" name="Elongate echinate long cell GRS14" dataDxfId="130"/>
    <tableColumn id="16" name="Epidermal aggregation GRS15" dataDxfId="129"/>
    <tableColumn id="17" name="Globular pscilateGRS16" dataDxfId="128"/>
    <tableColumn id="18" name="GRS17" dataDxfId="127"/>
    <tableColumn id="19" name="Glum phytoliths GRS18" dataDxfId="126"/>
    <tableColumn id="20" name="Mesophyl phytoliths GRS19" dataDxfId="125"/>
    <tableColumn id="21" name="Ovate radiating GRS20" dataDxfId="124"/>
    <tableColumn id="22" name="Papillae cell GRS21" dataDxfId="123"/>
    <tableColumn id="23" name="Parallepipedal bulliform cell GRS22" dataDxfId="122"/>
    <tableColumn id="24" name="Parallepipedal granulate bulliform cell GRS23" dataDxfId="121"/>
    <tableColumn id="25" name="Polyhendral phytoliths GRS24" dataDxfId="120"/>
    <tableColumn id="26" name="Polylobate epidermal short cell var A GRS25" dataDxfId="119"/>
    <tableColumn id="27" name="Polylobate epidermal short cell var B GRS26" dataDxfId="118"/>
    <tableColumn id="28" name="Polylobate epidermal short cell var C GRS27" dataDxfId="117"/>
    <tableColumn id="29" name="Polylobate epidermal short cell var D GRS28" dataDxfId="116"/>
    <tableColumn id="30" name="Polylobate epidermal short cell var E GRS29" dataDxfId="115"/>
    <tableColumn id="68" name="Polylobates total" dataDxfId="114">
      <calculatedColumnFormula>SUM(Table5[[#This Row],[Polylobate epidermal short cell var A GRS25]:[Polylobate epidermal short cell var E GRS29]])</calculatedColumnFormula>
    </tableColumn>
    <tableColumn id="31" name="Prickle GRS30" dataDxfId="113"/>
    <tableColumn id="32" name="Quadra-lobate epidermal short cell GRS31" dataDxfId="112"/>
    <tableColumn id="33" name="Rondel short flat top GRS32" dataDxfId="111"/>
    <tableColumn id="34" name="Rondel short wavy-top GRS33" dataDxfId="110"/>
    <tableColumn id="35" name="Rondel tall conical triangular top GRS34" dataDxfId="109"/>
    <tableColumn id="36" name="Rondel tall narrow flat top GRS35" dataDxfId="108"/>
    <tableColumn id="37" name="Rondel tall pyramidal tri-top GRS36" dataDxfId="107"/>
    <tableColumn id="38" name="Rondel tall pyramidal ovate top GRS37" dataDxfId="106"/>
    <tableColumn id="69" name="Rondels total" dataDxfId="105">
      <calculatedColumnFormula>SUM(Table5[[#This Row],[Rondel short flat top GRS32]:[Rondel tall pyramidal ovate top GRS37]])</calculatedColumnFormula>
    </tableColumn>
    <tableColumn id="39" name="Saddle epidermal short cell GRS38" dataDxfId="104"/>
    <tableColumn id="40" name="Saddle short epidermal short cell GRS39" dataDxfId="103"/>
    <tableColumn id="70" name="Saddle total" dataDxfId="102">
      <calculatedColumnFormula>SUM(Table5[[#This Row],[Saddle epidermal short cell GRS38]:[Saddle short epidermal short cell GRS39]])</calculatedColumnFormula>
    </tableColumn>
    <tableColumn id="41" name="Stomatal phytoliths GRS40" dataDxfId="101"/>
    <tableColumn id="42" name="Parallepipedal echinate bulliform cellGRS41" dataDxfId="100"/>
    <tableColumn id="43" name="Carinate facetate FR1" dataDxfId="99"/>
    <tableColumn id="44" name="Clavate facetate FR2" dataDxfId="98"/>
    <tableColumn id="45" name="Cylindric sulcate tracheid FR3" dataDxfId="97"/>
    <tableColumn id="46" name="Eliptical facetate FR4" dataDxfId="96"/>
    <tableColumn id="47" name="Eliptical rugulate FR5" dataDxfId="95"/>
    <tableColumn id="48" name="Fusiform equal FR6" dataDxfId="94"/>
    <tableColumn id="49" name="Globular sinuate FR7" dataDxfId="93"/>
    <tableColumn id="50" name="Hair base FR8" dataDxfId="92"/>
    <tableColumn id="51" name="Irregular equal FR9" dataDxfId="91"/>
    <tableColumn id="52" name="Mesophyl phytoliths FR10" dataDxfId="90"/>
    <tableColumn id="53" name="Orbicular hair cell FR11" dataDxfId="89"/>
    <tableColumn id="54" name="Ovate equal FR12" dataDxfId="88"/>
    <tableColumn id="55" name="Ovate lacunose FR13" dataDxfId="87"/>
    <tableColumn id="56" name="Polyhendral phytoliths FR14" dataDxfId="86"/>
    <tableColumn id="57" name="Stellate bulliform cell FR15" dataDxfId="85"/>
    <tableColumn id="58" name="FR 16" dataDxfId="84"/>
    <tableColumn id="59" name="Non Diagnostic/undef" dataDxfId="83"/>
    <tableColumn id="60" name="Clavate columellate hair cell FR18" dataDxfId="82"/>
    <tableColumn id="61" name="Cylindric striate FR19" dataDxfId="81"/>
    <tableColumn id="62" name="Oblong columellate epidermal cell FR20" dataDxfId="80"/>
    <tableColumn id="63" name="Trapeziform echinate short cell FR21" dataDxfId="79"/>
    <tableColumn id="64" name="Acicular columellate hair cell FR22" dataDxfId="78"/>
    <tableColumn id="65" name="Acicular hair cell FR23" dataDxfId="77"/>
    <tableColumn id="66" name="Tissue Platelet Asteraceae" dataDxfId="76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5" name="Table1" displayName="Table1" ref="B1:BR14" totalsRowShown="0">
  <autoFilter ref="B1:BR14"/>
  <tableColumns count="69">
    <tableColumn id="1" name="Depth" dataCellStyle="Normal"/>
    <tableColumn id="2" name="Scutiform lanceolate GRS1" dataCellStyle="Normal"/>
    <tableColumn id="3" name="Bilobate concave outer margin long shaft var A GRS2" dataCellStyle="Normal"/>
    <tableColumn id="4" name="Bilobate concave outer margin long shaft var B GRS3" dataCellStyle="Normal"/>
    <tableColumn id="5" name="Bilobate concave outer margin short shaft var A GRS4" dataCellStyle="Normal"/>
    <tableColumn id="6" name="Bilobate concave outer margin long shaft var B GRS5" dataCellStyle="Normal"/>
    <tableColumn id="7" name="Bilobate concave outer margin long shaft var C GRS6" dataCellStyle="Normal"/>
    <tableColumn id="8" name="Bilobate concave outer margin long shaft var D GRS7" dataCellStyle="Normal"/>
    <tableColumn id="9" name="Bilobate concave outer margin long shaft var E GRS8" dataCellStyle="Normal"/>
    <tableColumn id="10" name="Bilobate concave outer margin long shaft var F GRS9" dataCellStyle="Normal"/>
    <tableColumn id="11" name="Bilobate concave outer margin long shaft var G GRS10" dataCellStyle="Normal"/>
    <tableColumn id="12" name="Bilobate concave outer margin long shaft var H GRS11" dataCellStyle="Normal"/>
    <tableColumn id="66" name="Bilobate total" dataDxfId="75">
      <calculatedColumnFormula>SUM(Table1[[#This Row],[Bilobate concave outer margin long shaft var A GRS2]:[Bilobate concave outer margin long shaft var H GRS11]])</calculatedColumnFormula>
    </tableColumn>
    <tableColumn id="13" name="Cuneiform bulliform cell GRS12" dataCellStyle="Normal"/>
    <tableColumn id="14" name="Elongate cylindrical pscilate long cell GRS13" dataCellStyle="Normal"/>
    <tableColumn id="15" name="Elongate echinate long cell GRS14" dataCellStyle="Normal"/>
    <tableColumn id="16" name="Epidermal aggregation GRS15" dataCellStyle="Normal"/>
    <tableColumn id="17" name="Globular pscilateGRS16" dataCellStyle="Normal"/>
    <tableColumn id="18" name="GRS17" dataCellStyle="Normal"/>
    <tableColumn id="19" name="Glum phytoliths GRS18" dataCellStyle="Normal"/>
    <tableColumn id="20" name="Mesophyl phytoliths GRS19" dataCellStyle="Normal"/>
    <tableColumn id="21" name="Ovate radiating GRS20" dataCellStyle="Normal"/>
    <tableColumn id="22" name="Papillae cell GRS21" dataCellStyle="Normal"/>
    <tableColumn id="23" name="Parallepipedal bulliform cell GRS22" dataCellStyle="Normal"/>
    <tableColumn id="24" name="Parallepipedal granulate bulliform cell GRS23" dataCellStyle="Normal"/>
    <tableColumn id="25" name="Polyhendral phytoliths GRS24" dataCellStyle="Normal"/>
    <tableColumn id="26" name="Polylobate epidermal short cell var A GRS25" dataCellStyle="Normal"/>
    <tableColumn id="27" name="Polylobate epidermal short cell var B GRS26" dataCellStyle="Normal"/>
    <tableColumn id="28" name="Polylobate epidermal short cell var C GRS27" dataCellStyle="Normal"/>
    <tableColumn id="29" name="Polylobate epidermal short cell var D GRS28" dataCellStyle="Normal"/>
    <tableColumn id="30" name="Polylobate epidermal short cell var E GRS29" dataCellStyle="Normal"/>
    <tableColumn id="67" name="Polylobate total" dataDxfId="74">
      <calculatedColumnFormula>SUM(Table1[[#This Row],[Polylobate epidermal short cell var A GRS25]:[Polylobate epidermal short cell var E GRS29]])</calculatedColumnFormula>
    </tableColumn>
    <tableColumn id="31" name="Prickle GRS30" dataCellStyle="Normal"/>
    <tableColumn id="32" name="Quadra-lobate epidermal short cell GRS31" dataCellStyle="Normal"/>
    <tableColumn id="33" name="Rondel short flat top GRS32" dataCellStyle="Normal"/>
    <tableColumn id="34" name="Rondel short wavy-top GRS33" dataCellStyle="Normal"/>
    <tableColumn id="35" name="Rondel tall conical triangular top GRS34" dataCellStyle="Normal"/>
    <tableColumn id="36" name="Rondel tall narrow flat top GRS35" dataCellStyle="Normal"/>
    <tableColumn id="37" name="Rondel tall pyramidal tri-top GRS36" dataCellStyle="Normal"/>
    <tableColumn id="38" name="Rondel tall pyramidal ovate top GRS37" dataCellStyle="Normal"/>
    <tableColumn id="68" name="Rondel total" dataDxfId="73">
      <calculatedColumnFormula>SUM(Table1[[#This Row],[Rondel short flat top GRS32]:[Rondel tall pyramidal ovate top GRS37]])</calculatedColumnFormula>
    </tableColumn>
    <tableColumn id="39" name="Saddle epidermal short cell GRS38" dataCellStyle="Normal"/>
    <tableColumn id="40" name="Saddle short epidermal short cell GRS39" dataCellStyle="Normal"/>
    <tableColumn id="69" name="Saddle total" dataDxfId="72">
      <calculatedColumnFormula>SUM(Table1[[#This Row],[Saddle epidermal short cell GRS38]:[Saddle short epidermal short cell GRS39]])</calculatedColumnFormula>
    </tableColumn>
    <tableColumn id="41" name="Stomatal phytoliths GRS40" dataCellStyle="Normal"/>
    <tableColumn id="42" name="Parallepipedal echinate bulliform cellGRS41" dataCellStyle="Normal"/>
    <tableColumn id="43" name="Carinate facetate FR1" dataCellStyle="Normal"/>
    <tableColumn id="44" name="Clavate facetate FR2" dataCellStyle="Normal"/>
    <tableColumn id="45" name="Cylindric sulcate tracheid FR3" dataCellStyle="Normal"/>
    <tableColumn id="46" name="Eliptical facetate FR4" dataCellStyle="Normal"/>
    <tableColumn id="47" name="Eliptical rugulate FR5" dataCellStyle="Normal"/>
    <tableColumn id="48" name="Fusiform equal FR6" dataCellStyle="Normal"/>
    <tableColumn id="49" name="Globular sinuate FR7" dataCellStyle="Normal"/>
    <tableColumn id="50" name="Hair base FR8" dataCellStyle="Normal"/>
    <tableColumn id="51" name="Irregular equal FR9" dataCellStyle="Normal"/>
    <tableColumn id="52" name="Mesophyl phytoliths FR10" dataCellStyle="Normal"/>
    <tableColumn id="53" name="Orbicular hair cell FR11" dataCellStyle="Normal"/>
    <tableColumn id="54" name="Ovate equal FR12" dataCellStyle="Normal"/>
    <tableColumn id="55" name="Ovate lacunose FR13" dataCellStyle="Normal"/>
    <tableColumn id="56" name="Polyhendral phytoliths FR14" dataCellStyle="Normal"/>
    <tableColumn id="57" name="Stellate bulliform cell FR15" dataCellStyle="Normal"/>
    <tableColumn id="58" name="FR 16" dataCellStyle="Normal"/>
    <tableColumn id="59" name="Non Diagnostic/undef" dataCellStyle="Normal"/>
    <tableColumn id="60" name="Clavate columellate hair cell FR18" dataCellStyle="Normal"/>
    <tableColumn id="61" name="Cylindric striate FR19" dataCellStyle="Normal"/>
    <tableColumn id="62" name="Oblong columellate epidermal cell FR20" dataCellStyle="Normal"/>
    <tableColumn id="63" name="Trapeziform echinate short cell FR21" dataCellStyle="Normal"/>
    <tableColumn id="64" name="Acicular columellate hair cell FR22" dataCellStyle="Normal"/>
    <tableColumn id="65" name="Acicular hair cell FR23" dataCellStyle="Normal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Table8" displayName="Table8" ref="C1:BT14" totalsRowShown="0" headerRowDxfId="71" tableBorderDxfId="70">
  <autoFilter ref="C1:BT14"/>
  <tableColumns count="70">
    <tableColumn id="1" name="Scutiform lanceolate GRS1" dataDxfId="69"/>
    <tableColumn id="2" name="Bilobate concave outer margin long shaft var A GRS2" dataDxfId="68"/>
    <tableColumn id="3" name="Bilobate concave outer margin long shaft var B GRS3" dataDxfId="67"/>
    <tableColumn id="4" name="Bilobate concave outer margin short shaft var A GRS4" dataDxfId="66"/>
    <tableColumn id="5" name="Bilobate concave outer margin long shaft var B GRS5" dataDxfId="65"/>
    <tableColumn id="6" name="Bilobate concave outer margin long shaft var C GRS6" dataDxfId="64"/>
    <tableColumn id="7" name="Bilobate concave outer margin long shaft var D GRS7" dataDxfId="63"/>
    <tableColumn id="8" name="Bilobate concave outer margin long shaft var E GRS8" dataDxfId="62"/>
    <tableColumn id="9" name="Bilobate concave outer margin long shaft var F GRS9" dataDxfId="61"/>
    <tableColumn id="10" name="Bilobate concave outer margin long shaft var G GRS10" dataDxfId="60"/>
    <tableColumn id="11" name="Bilobate concave outer margin long shaft var H GRS11" dataDxfId="59"/>
    <tableColumn id="67" name="Bilobate total" dataDxfId="58">
      <calculatedColumnFormula>SUM(Table8[[#This Row],[Bilobate concave outer margin long shaft var A GRS2]:[Bilobate concave outer margin long shaft var H GRS11]])</calculatedColumnFormula>
    </tableColumn>
    <tableColumn id="12" name="Cuneiform bulliform cell GRS12" dataDxfId="57"/>
    <tableColumn id="13" name="Elongate cylindrical pscilate long cell GRS13" dataDxfId="56"/>
    <tableColumn id="14" name="Elongate echinate long cell GRS14" dataDxfId="55"/>
    <tableColumn id="15" name="Epidermal aggregation GRS15" dataDxfId="54"/>
    <tableColumn id="16" name="Globular pscilateGRS16" dataDxfId="53"/>
    <tableColumn id="17" name="GRS17" dataDxfId="52"/>
    <tableColumn id="18" name="Glum phytoliths GRS18" dataDxfId="51"/>
    <tableColumn id="19" name="Mesophyl phytoliths GRS19" dataDxfId="50"/>
    <tableColumn id="20" name="Ovate radiating GRS20" dataDxfId="49"/>
    <tableColumn id="21" name="Papillae cell GRS21" dataDxfId="48"/>
    <tableColumn id="22" name="Parallepipedal bulliform cell GRS22" dataDxfId="47"/>
    <tableColumn id="23" name="Parallepipedal granulate bulliform cell GRS23" dataDxfId="46"/>
    <tableColumn id="24" name="Polyhendral phytoliths GRS24" dataDxfId="45"/>
    <tableColumn id="25" name="Polylobate epidermal short cell var A GRS25" dataDxfId="44"/>
    <tableColumn id="26" name="Polylobate epidermal short cell var B GRS26" dataDxfId="43"/>
    <tableColumn id="27" name="Polylobate epidermal short cell var C GRS27" dataDxfId="42"/>
    <tableColumn id="28" name="Polylobate epidermal short cell var D GRS28" dataDxfId="41"/>
    <tableColumn id="29" name="Polylobate epidermal short cell var E GRS29" dataDxfId="40"/>
    <tableColumn id="68" name="Polylobate total" dataDxfId="39">
      <calculatedColumnFormula>SUM(Table8[[#This Row],[Polylobate epidermal short cell var A GRS25]:[Polylobate epidermal short cell var E GRS29]])</calculatedColumnFormula>
    </tableColumn>
    <tableColumn id="30" name="Prickle GRS30" dataDxfId="38"/>
    <tableColumn id="31" name="Quadra-lobate epidermal short cell GRS31" dataDxfId="37"/>
    <tableColumn id="32" name="Rondel short flat top GRS32" dataDxfId="36"/>
    <tableColumn id="33" name="Rondel short wavy-top GRS33" dataDxfId="35"/>
    <tableColumn id="34" name="Rondel tall conical triangular top GRS34" dataDxfId="34"/>
    <tableColumn id="35" name="Rondel tall narrow flat top GRS35" dataDxfId="33"/>
    <tableColumn id="36" name="Rondel tall pyramidal tri-top GRS36" dataDxfId="32"/>
    <tableColumn id="37" name="Rondel tall pyramidal ovate top GRS37" dataDxfId="31"/>
    <tableColumn id="69" name="Rondel total" dataDxfId="30">
      <calculatedColumnFormula>SUM(Table8[[#This Row],[Rondel short flat top GRS32]:[Rondel tall pyramidal ovate top GRS37]])</calculatedColumnFormula>
    </tableColumn>
    <tableColumn id="38" name="Saddle epidermal short cell GRS38" dataDxfId="29"/>
    <tableColumn id="39" name="Saddle short epidermal short cell GRS39" dataDxfId="28"/>
    <tableColumn id="70" name="Saddle total" dataDxfId="27">
      <calculatedColumnFormula>SUM(Table8[[#This Row],[Saddle epidermal short cell GRS38]:[Saddle short epidermal short cell GRS39]])</calculatedColumnFormula>
    </tableColumn>
    <tableColumn id="40" name="Stomatal phytoliths GRS40" dataDxfId="26"/>
    <tableColumn id="41" name="Parallepipedal echinate bulliform cell GRS41" dataDxfId="25"/>
    <tableColumn id="66" name="Dendriform GRS43" dataDxfId="24"/>
    <tableColumn id="42" name="Carinate facetate FR1" dataDxfId="23"/>
    <tableColumn id="43" name="Clavate facetate FR2" dataDxfId="22"/>
    <tableColumn id="44" name="Cylindric sulcate tracheid FR3" dataDxfId="21"/>
    <tableColumn id="45" name="Eliptical facetate FR4" dataDxfId="20"/>
    <tableColumn id="46" name="Eliptical rugulate FR5" dataDxfId="19"/>
    <tableColumn id="47" name="Fusiform equal FR6" dataDxfId="18"/>
    <tableColumn id="48" name="Globular sinuate FR7" dataDxfId="17"/>
    <tableColumn id="49" name="Hair base FR8" dataDxfId="16"/>
    <tableColumn id="50" name="Irregular equal FR9" dataDxfId="15"/>
    <tableColumn id="51" name="Mesophyl phytoliths FR10" dataDxfId="14"/>
    <tableColumn id="52" name="Orbicular hair cell FR11" dataDxfId="13"/>
    <tableColumn id="53" name="Ovate equal FR12" dataDxfId="12"/>
    <tableColumn id="54" name="Ovate lacunose FR13" dataDxfId="11"/>
    <tableColumn id="55" name="Polyhendral phytoliths FR14" dataDxfId="10"/>
    <tableColumn id="56" name="Stellate bulliform cell FR15" dataDxfId="9"/>
    <tableColumn id="57" name="FR 16" dataDxfId="8"/>
    <tableColumn id="58" name="Non Diagnostic/undef" dataDxfId="7"/>
    <tableColumn id="59" name="Clavate columellate hair cell FR18" dataDxfId="6"/>
    <tableColumn id="60" name="Cylindric striate FR19" dataDxfId="5"/>
    <tableColumn id="61" name="Oblong columellate epidermal cell FR20" dataDxfId="4"/>
    <tableColumn id="62" name="Trapeziform echinate short cell FR21" dataDxfId="3"/>
    <tableColumn id="63" name="Acicular columellate hair cell FR22" dataDxfId="2"/>
    <tableColumn id="64" name="Acicular hair cell FR23" dataDxfId="1"/>
    <tableColumn id="65" name="Tissue Platelet Asteraceae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"/>
  <sheetViews>
    <sheetView topLeftCell="A42" workbookViewId="0">
      <selection activeCell="E70" sqref="E70"/>
    </sheetView>
  </sheetViews>
  <sheetFormatPr baseColWidth="10" defaultRowHeight="16" x14ac:dyDescent="0.2"/>
  <cols>
    <col min="1" max="1" width="38.1640625" bestFit="1" customWidth="1"/>
    <col min="2" max="2" width="9.33203125" bestFit="1" customWidth="1"/>
  </cols>
  <sheetData>
    <row r="1" spans="1:2" x14ac:dyDescent="0.2">
      <c r="A1" t="s">
        <v>347</v>
      </c>
      <c r="B1" t="s">
        <v>348</v>
      </c>
    </row>
    <row r="3" spans="1:2" x14ac:dyDescent="0.2">
      <c r="A3" s="51" t="s">
        <v>349</v>
      </c>
      <c r="B3" s="52" t="s">
        <v>350</v>
      </c>
    </row>
    <row r="4" spans="1:2" x14ac:dyDescent="0.2">
      <c r="A4" s="53" t="s">
        <v>351</v>
      </c>
      <c r="B4" s="54" t="s">
        <v>352</v>
      </c>
    </row>
    <row r="5" spans="1:2" x14ac:dyDescent="0.2">
      <c r="A5" s="53" t="s">
        <v>353</v>
      </c>
      <c r="B5" s="54" t="s">
        <v>354</v>
      </c>
    </row>
    <row r="6" spans="1:2" x14ac:dyDescent="0.2">
      <c r="A6" s="53" t="s">
        <v>355</v>
      </c>
      <c r="B6" s="54" t="s">
        <v>356</v>
      </c>
    </row>
    <row r="7" spans="1:2" x14ac:dyDescent="0.2">
      <c r="A7" s="53" t="s">
        <v>357</v>
      </c>
      <c r="B7" s="54" t="s">
        <v>358</v>
      </c>
    </row>
    <row r="8" spans="1:2" x14ac:dyDescent="0.2">
      <c r="A8" s="53" t="s">
        <v>359</v>
      </c>
      <c r="B8" s="54" t="s">
        <v>360</v>
      </c>
    </row>
    <row r="9" spans="1:2" x14ac:dyDescent="0.2">
      <c r="A9" s="53" t="s">
        <v>361</v>
      </c>
      <c r="B9" s="54" t="s">
        <v>362</v>
      </c>
    </row>
    <row r="10" spans="1:2" x14ac:dyDescent="0.2">
      <c r="A10" s="53" t="s">
        <v>363</v>
      </c>
      <c r="B10" s="54" t="s">
        <v>364</v>
      </c>
    </row>
    <row r="11" spans="1:2" x14ac:dyDescent="0.2">
      <c r="A11" s="55" t="s">
        <v>365</v>
      </c>
      <c r="B11" s="54" t="s">
        <v>366</v>
      </c>
    </row>
    <row r="12" spans="1:2" x14ac:dyDescent="0.2">
      <c r="A12" s="53" t="s">
        <v>367</v>
      </c>
      <c r="B12" s="54" t="s">
        <v>368</v>
      </c>
    </row>
    <row r="13" spans="1:2" x14ac:dyDescent="0.2">
      <c r="A13" s="55" t="s">
        <v>369</v>
      </c>
      <c r="B13" s="54" t="s">
        <v>370</v>
      </c>
    </row>
    <row r="14" spans="1:2" x14ac:dyDescent="0.2">
      <c r="A14" s="53" t="s">
        <v>371</v>
      </c>
      <c r="B14" s="54" t="s">
        <v>372</v>
      </c>
    </row>
    <row r="15" spans="1:2" x14ac:dyDescent="0.2">
      <c r="A15" s="55" t="s">
        <v>373</v>
      </c>
      <c r="B15" s="54" t="s">
        <v>374</v>
      </c>
    </row>
    <row r="16" spans="1:2" x14ac:dyDescent="0.2">
      <c r="A16" s="53" t="s">
        <v>375</v>
      </c>
      <c r="B16" s="54" t="s">
        <v>376</v>
      </c>
    </row>
    <row r="17" spans="1:2" x14ac:dyDescent="0.2">
      <c r="A17" s="53" t="s">
        <v>377</v>
      </c>
      <c r="B17" s="54" t="s">
        <v>378</v>
      </c>
    </row>
    <row r="18" spans="1:2" x14ac:dyDescent="0.2">
      <c r="A18" s="53" t="s">
        <v>379</v>
      </c>
      <c r="B18" s="56" t="s">
        <v>380</v>
      </c>
    </row>
    <row r="19" spans="1:2" x14ac:dyDescent="0.2">
      <c r="A19" s="57" t="s">
        <v>312</v>
      </c>
      <c r="B19" s="58" t="s">
        <v>381</v>
      </c>
    </row>
    <row r="20" spans="1:2" x14ac:dyDescent="0.2">
      <c r="A20" s="57" t="s">
        <v>382</v>
      </c>
      <c r="B20" s="58" t="s">
        <v>383</v>
      </c>
    </row>
    <row r="21" spans="1:2" x14ac:dyDescent="0.2">
      <c r="A21" s="57" t="s">
        <v>384</v>
      </c>
      <c r="B21" s="58" t="s">
        <v>385</v>
      </c>
    </row>
    <row r="22" spans="1:2" x14ac:dyDescent="0.2">
      <c r="A22" s="57" t="s">
        <v>386</v>
      </c>
      <c r="B22" s="58" t="s">
        <v>387</v>
      </c>
    </row>
    <row r="23" spans="1:2" x14ac:dyDescent="0.2">
      <c r="A23" s="57" t="s">
        <v>388</v>
      </c>
      <c r="B23" s="58" t="s">
        <v>389</v>
      </c>
    </row>
    <row r="24" spans="1:2" x14ac:dyDescent="0.2">
      <c r="A24" s="57" t="s">
        <v>390</v>
      </c>
      <c r="B24" s="58" t="s">
        <v>391</v>
      </c>
    </row>
    <row r="25" spans="1:2" x14ac:dyDescent="0.2">
      <c r="A25" s="57" t="s">
        <v>392</v>
      </c>
      <c r="B25" s="58" t="s">
        <v>393</v>
      </c>
    </row>
    <row r="26" spans="1:2" x14ac:dyDescent="0.2">
      <c r="A26" s="57" t="s">
        <v>394</v>
      </c>
      <c r="B26" s="58" t="s">
        <v>395</v>
      </c>
    </row>
    <row r="27" spans="1:2" x14ac:dyDescent="0.2">
      <c r="A27" s="57" t="s">
        <v>396</v>
      </c>
      <c r="B27" s="59"/>
    </row>
    <row r="28" spans="1:2" x14ac:dyDescent="0.2">
      <c r="A28" s="60" t="s">
        <v>397</v>
      </c>
      <c r="B28" t="s">
        <v>398</v>
      </c>
    </row>
    <row r="30" spans="1:2" x14ac:dyDescent="0.2">
      <c r="A30" s="51" t="s">
        <v>399</v>
      </c>
      <c r="B30" s="52" t="s">
        <v>400</v>
      </c>
    </row>
    <row r="31" spans="1:2" x14ac:dyDescent="0.2">
      <c r="A31" s="53" t="s">
        <v>401</v>
      </c>
      <c r="B31" s="54" t="s">
        <v>402</v>
      </c>
    </row>
    <row r="32" spans="1:2" x14ac:dyDescent="0.2">
      <c r="A32" s="53" t="s">
        <v>403</v>
      </c>
      <c r="B32" s="54" t="s">
        <v>404</v>
      </c>
    </row>
    <row r="33" spans="1:2" x14ac:dyDescent="0.2">
      <c r="A33" s="53" t="s">
        <v>405</v>
      </c>
      <c r="B33" s="54" t="s">
        <v>406</v>
      </c>
    </row>
    <row r="34" spans="1:2" x14ac:dyDescent="0.2">
      <c r="A34" s="53" t="s">
        <v>407</v>
      </c>
      <c r="B34" s="54" t="s">
        <v>408</v>
      </c>
    </row>
    <row r="35" spans="1:2" x14ac:dyDescent="0.2">
      <c r="A35" s="53" t="s">
        <v>409</v>
      </c>
      <c r="B35" s="54" t="s">
        <v>410</v>
      </c>
    </row>
    <row r="36" spans="1:2" x14ac:dyDescent="0.2">
      <c r="A36" s="53" t="s">
        <v>411</v>
      </c>
      <c r="B36" s="54" t="s">
        <v>412</v>
      </c>
    </row>
    <row r="37" spans="1:2" x14ac:dyDescent="0.2">
      <c r="A37" s="53" t="s">
        <v>413</v>
      </c>
      <c r="B37" s="54" t="s">
        <v>414</v>
      </c>
    </row>
    <row r="38" spans="1:2" x14ac:dyDescent="0.2">
      <c r="A38" s="53" t="s">
        <v>415</v>
      </c>
      <c r="B38" s="54" t="s">
        <v>416</v>
      </c>
    </row>
    <row r="39" spans="1:2" x14ac:dyDescent="0.2">
      <c r="A39" s="53" t="s">
        <v>417</v>
      </c>
      <c r="B39" s="54" t="s">
        <v>418</v>
      </c>
    </row>
    <row r="40" spans="1:2" x14ac:dyDescent="0.2">
      <c r="A40" s="53" t="s">
        <v>419</v>
      </c>
      <c r="B40" s="54" t="s">
        <v>420</v>
      </c>
    </row>
    <row r="41" spans="1:2" x14ac:dyDescent="0.2">
      <c r="A41" s="53" t="s">
        <v>421</v>
      </c>
      <c r="B41" s="54" t="s">
        <v>422</v>
      </c>
    </row>
    <row r="42" spans="1:2" x14ac:dyDescent="0.2">
      <c r="A42" s="53" t="s">
        <v>423</v>
      </c>
      <c r="B42" s="54" t="s">
        <v>424</v>
      </c>
    </row>
    <row r="43" spans="1:2" x14ac:dyDescent="0.2">
      <c r="A43" s="55" t="s">
        <v>425</v>
      </c>
      <c r="B43" s="54" t="s">
        <v>426</v>
      </c>
    </row>
    <row r="44" spans="1:2" x14ac:dyDescent="0.2">
      <c r="A44" s="55" t="s">
        <v>427</v>
      </c>
      <c r="B44" s="54" t="s">
        <v>428</v>
      </c>
    </row>
    <row r="45" spans="1:2" x14ac:dyDescent="0.2">
      <c r="A45" s="53" t="s">
        <v>429</v>
      </c>
      <c r="B45" s="54" t="s">
        <v>430</v>
      </c>
    </row>
    <row r="46" spans="1:2" x14ac:dyDescent="0.2">
      <c r="A46" s="53" t="s">
        <v>431</v>
      </c>
      <c r="B46" s="54" t="s">
        <v>432</v>
      </c>
    </row>
    <row r="47" spans="1:2" x14ac:dyDescent="0.2">
      <c r="A47" s="53" t="s">
        <v>433</v>
      </c>
      <c r="B47" s="54" t="s">
        <v>434</v>
      </c>
    </row>
    <row r="48" spans="1:2" x14ac:dyDescent="0.2">
      <c r="A48" s="55" t="s">
        <v>367</v>
      </c>
      <c r="B48" s="54" t="s">
        <v>435</v>
      </c>
    </row>
    <row r="49" spans="1:2" x14ac:dyDescent="0.2">
      <c r="A49" s="55" t="s">
        <v>436</v>
      </c>
      <c r="B49" s="54" t="s">
        <v>437</v>
      </c>
    </row>
    <row r="50" spans="1:2" x14ac:dyDescent="0.2">
      <c r="A50" s="53" t="s">
        <v>438</v>
      </c>
      <c r="B50" s="54" t="s">
        <v>439</v>
      </c>
    </row>
    <row r="51" spans="1:2" x14ac:dyDescent="0.2">
      <c r="A51" s="53" t="s">
        <v>440</v>
      </c>
      <c r="B51" s="54" t="s">
        <v>441</v>
      </c>
    </row>
    <row r="52" spans="1:2" x14ac:dyDescent="0.2">
      <c r="A52" s="53" t="s">
        <v>442</v>
      </c>
      <c r="B52" s="54" t="s">
        <v>443</v>
      </c>
    </row>
    <row r="53" spans="1:2" x14ac:dyDescent="0.2">
      <c r="A53" s="55" t="s">
        <v>444</v>
      </c>
      <c r="B53" s="54" t="s">
        <v>445</v>
      </c>
    </row>
    <row r="54" spans="1:2" x14ac:dyDescent="0.2">
      <c r="A54" s="53" t="s">
        <v>446</v>
      </c>
      <c r="B54" s="54" t="s">
        <v>447</v>
      </c>
    </row>
    <row r="55" spans="1:2" x14ac:dyDescent="0.2">
      <c r="A55" s="53" t="s">
        <v>448</v>
      </c>
      <c r="B55" s="54" t="s">
        <v>449</v>
      </c>
    </row>
    <row r="56" spans="1:2" x14ac:dyDescent="0.2">
      <c r="A56" s="53" t="s">
        <v>450</v>
      </c>
      <c r="B56" s="54" t="s">
        <v>451</v>
      </c>
    </row>
    <row r="57" spans="1:2" x14ac:dyDescent="0.2">
      <c r="A57" s="53" t="s">
        <v>452</v>
      </c>
      <c r="B57" s="54" t="s">
        <v>453</v>
      </c>
    </row>
    <row r="58" spans="1:2" x14ac:dyDescent="0.2">
      <c r="A58" s="53" t="s">
        <v>454</v>
      </c>
      <c r="B58" s="54" t="s">
        <v>455</v>
      </c>
    </row>
    <row r="59" spans="1:2" x14ac:dyDescent="0.2">
      <c r="A59" s="53" t="s">
        <v>456</v>
      </c>
      <c r="B59" s="54" t="s">
        <v>457</v>
      </c>
    </row>
    <row r="60" spans="1:2" x14ac:dyDescent="0.2">
      <c r="A60" s="53" t="s">
        <v>458</v>
      </c>
      <c r="B60" s="54" t="s">
        <v>459</v>
      </c>
    </row>
    <row r="61" spans="1:2" x14ac:dyDescent="0.2">
      <c r="A61" s="53" t="s">
        <v>460</v>
      </c>
      <c r="B61" s="54" t="s">
        <v>461</v>
      </c>
    </row>
    <row r="62" spans="1:2" x14ac:dyDescent="0.2">
      <c r="A62" s="53" t="s">
        <v>462</v>
      </c>
      <c r="B62" s="54" t="s">
        <v>463</v>
      </c>
    </row>
    <row r="63" spans="1:2" x14ac:dyDescent="0.2">
      <c r="A63" s="53" t="s">
        <v>464</v>
      </c>
      <c r="B63" s="54" t="s">
        <v>465</v>
      </c>
    </row>
    <row r="64" spans="1:2" x14ac:dyDescent="0.2">
      <c r="A64" s="53" t="s">
        <v>466</v>
      </c>
      <c r="B64" s="54" t="s">
        <v>467</v>
      </c>
    </row>
    <row r="65" spans="1:2" x14ac:dyDescent="0.2">
      <c r="A65" s="53" t="s">
        <v>468</v>
      </c>
      <c r="B65" s="54" t="s">
        <v>469</v>
      </c>
    </row>
    <row r="66" spans="1:2" x14ac:dyDescent="0.2">
      <c r="A66" s="53" t="s">
        <v>470</v>
      </c>
      <c r="B66" s="54" t="s">
        <v>471</v>
      </c>
    </row>
    <row r="67" spans="1:2" x14ac:dyDescent="0.2">
      <c r="A67" s="53" t="s">
        <v>472</v>
      </c>
      <c r="B67" s="54" t="s">
        <v>473</v>
      </c>
    </row>
    <row r="68" spans="1:2" x14ac:dyDescent="0.2">
      <c r="A68" s="53" t="s">
        <v>474</v>
      </c>
      <c r="B68" s="54" t="s">
        <v>475</v>
      </c>
    </row>
    <row r="69" spans="1:2" x14ac:dyDescent="0.2">
      <c r="A69" s="57" t="s">
        <v>476</v>
      </c>
      <c r="B69" s="59" t="s">
        <v>477</v>
      </c>
    </row>
    <row r="70" spans="1:2" x14ac:dyDescent="0.2">
      <c r="A70" s="61" t="s">
        <v>478</v>
      </c>
      <c r="B70" s="59" t="s">
        <v>479</v>
      </c>
    </row>
    <row r="71" spans="1:2" x14ac:dyDescent="0.2">
      <c r="A71" s="61" t="s">
        <v>480</v>
      </c>
      <c r="B71" s="59" t="s">
        <v>481</v>
      </c>
    </row>
    <row r="72" spans="1:2" x14ac:dyDescent="0.2">
      <c r="A72" s="61" t="s">
        <v>482</v>
      </c>
      <c r="B72" s="59" t="s">
        <v>483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C63" sqref="C63"/>
    </sheetView>
  </sheetViews>
  <sheetFormatPr baseColWidth="10" defaultRowHeight="16" x14ac:dyDescent="0.2"/>
  <cols>
    <col min="1" max="1" width="16.33203125" bestFit="1" customWidth="1"/>
    <col min="2" max="2" width="11.1640625" bestFit="1" customWidth="1"/>
    <col min="3" max="3" width="43" bestFit="1" customWidth="1"/>
    <col min="10" max="10" width="15.1640625" bestFit="1" customWidth="1"/>
  </cols>
  <sheetData>
    <row r="1" spans="1:13" ht="17" thickBot="1" x14ac:dyDescent="0.25">
      <c r="A1" s="7" t="s">
        <v>49</v>
      </c>
      <c r="B1" s="8" t="s">
        <v>2</v>
      </c>
      <c r="C1" s="8" t="s">
        <v>50</v>
      </c>
      <c r="D1" s="8" t="s">
        <v>51</v>
      </c>
      <c r="E1" s="9" t="s">
        <v>52</v>
      </c>
      <c r="F1" s="10" t="s">
        <v>53</v>
      </c>
      <c r="G1" s="10" t="s">
        <v>54</v>
      </c>
      <c r="H1" s="10" t="s">
        <v>55</v>
      </c>
      <c r="I1" s="10" t="s">
        <v>56</v>
      </c>
      <c r="J1" s="10" t="s">
        <v>57</v>
      </c>
      <c r="K1" s="10" t="s">
        <v>58</v>
      </c>
      <c r="L1" s="10" t="s">
        <v>59</v>
      </c>
      <c r="M1" s="10" t="s">
        <v>60</v>
      </c>
    </row>
    <row r="2" spans="1:13" ht="17" thickBot="1" x14ac:dyDescent="0.25">
      <c r="A2" s="11" t="s">
        <v>61</v>
      </c>
      <c r="B2" s="12" t="s">
        <v>15</v>
      </c>
      <c r="C2" s="13" t="s">
        <v>62</v>
      </c>
      <c r="D2" s="12" t="s">
        <v>63</v>
      </c>
      <c r="E2" s="14">
        <v>8</v>
      </c>
      <c r="F2" s="15">
        <v>2005</v>
      </c>
      <c r="G2" s="16" t="s">
        <v>64</v>
      </c>
      <c r="H2" s="16" t="s">
        <v>65</v>
      </c>
      <c r="I2" s="17" t="s">
        <v>66</v>
      </c>
      <c r="J2" s="17"/>
      <c r="K2" s="17" t="s">
        <v>66</v>
      </c>
      <c r="L2" s="17">
        <v>3.0000000000000001E-3</v>
      </c>
      <c r="M2" s="18" t="s">
        <v>67</v>
      </c>
    </row>
    <row r="3" spans="1:13" ht="17" thickBot="1" x14ac:dyDescent="0.25">
      <c r="A3" s="11" t="s">
        <v>68</v>
      </c>
      <c r="B3" s="12" t="s">
        <v>69</v>
      </c>
      <c r="C3" s="13" t="s">
        <v>70</v>
      </c>
      <c r="D3" s="12" t="s">
        <v>63</v>
      </c>
      <c r="E3" s="14">
        <v>3</v>
      </c>
      <c r="F3" s="19">
        <v>2710</v>
      </c>
      <c r="G3" s="20" t="s">
        <v>64</v>
      </c>
      <c r="H3" s="20" t="s">
        <v>71</v>
      </c>
      <c r="I3" s="21" t="s">
        <v>66</v>
      </c>
      <c r="J3" s="21"/>
      <c r="K3" s="21" t="s">
        <v>66</v>
      </c>
      <c r="L3" s="21">
        <v>7.0000000000000001E-3</v>
      </c>
      <c r="M3" s="22" t="s">
        <v>67</v>
      </c>
    </row>
    <row r="4" spans="1:13" ht="17" thickBot="1" x14ac:dyDescent="0.25">
      <c r="A4" s="11" t="s">
        <v>72</v>
      </c>
      <c r="B4" s="12" t="s">
        <v>69</v>
      </c>
      <c r="C4" s="23" t="s">
        <v>73</v>
      </c>
      <c r="D4" s="12" t="s">
        <v>63</v>
      </c>
      <c r="E4" s="14">
        <v>7</v>
      </c>
      <c r="F4" s="19">
        <v>2842</v>
      </c>
      <c r="G4" s="20" t="s">
        <v>74</v>
      </c>
      <c r="H4" s="20" t="s">
        <v>75</v>
      </c>
      <c r="I4" s="21" t="s">
        <v>66</v>
      </c>
      <c r="J4" s="21"/>
      <c r="K4" s="21" t="s">
        <v>66</v>
      </c>
      <c r="L4" s="21">
        <v>2.3E-2</v>
      </c>
      <c r="M4" s="22" t="s">
        <v>67</v>
      </c>
    </row>
    <row r="5" spans="1:13" ht="17" thickBot="1" x14ac:dyDescent="0.25">
      <c r="A5" s="11" t="s">
        <v>76</v>
      </c>
      <c r="B5" s="12" t="s">
        <v>77</v>
      </c>
      <c r="C5" s="23" t="s">
        <v>78</v>
      </c>
      <c r="D5" s="12" t="s">
        <v>63</v>
      </c>
      <c r="E5" s="14">
        <v>6</v>
      </c>
      <c r="F5" s="19">
        <v>1976</v>
      </c>
      <c r="G5" s="20" t="s">
        <v>74</v>
      </c>
      <c r="H5" s="20" t="s">
        <v>79</v>
      </c>
      <c r="I5" s="21" t="s">
        <v>66</v>
      </c>
      <c r="J5" s="21"/>
      <c r="K5" s="21" t="s">
        <v>66</v>
      </c>
      <c r="L5" s="21" t="s">
        <v>80</v>
      </c>
      <c r="M5" s="22" t="s">
        <v>67</v>
      </c>
    </row>
    <row r="6" spans="1:13" ht="17" thickBot="1" x14ac:dyDescent="0.25">
      <c r="A6" s="11" t="s">
        <v>81</v>
      </c>
      <c r="B6" s="12" t="s">
        <v>11</v>
      </c>
      <c r="C6" s="23" t="s">
        <v>82</v>
      </c>
      <c r="D6" s="12" t="s">
        <v>83</v>
      </c>
      <c r="E6" s="14">
        <v>6</v>
      </c>
      <c r="F6" s="19">
        <v>2977</v>
      </c>
      <c r="G6" s="20" t="s">
        <v>74</v>
      </c>
      <c r="H6" s="20" t="s">
        <v>84</v>
      </c>
      <c r="I6" s="21" t="s">
        <v>66</v>
      </c>
      <c r="J6" s="21"/>
      <c r="K6" s="21" t="s">
        <v>66</v>
      </c>
      <c r="L6" s="21">
        <v>9.5000000000000001E-2</v>
      </c>
      <c r="M6" s="22" t="s">
        <v>67</v>
      </c>
    </row>
    <row r="7" spans="1:13" ht="17" thickBot="1" x14ac:dyDescent="0.25">
      <c r="A7" s="11" t="s">
        <v>85</v>
      </c>
      <c r="B7" s="12" t="s">
        <v>11</v>
      </c>
      <c r="C7" s="23" t="s">
        <v>86</v>
      </c>
      <c r="D7" s="12" t="s">
        <v>83</v>
      </c>
      <c r="E7" s="14">
        <v>5</v>
      </c>
      <c r="F7" s="19">
        <v>3170</v>
      </c>
      <c r="G7" s="20" t="s">
        <v>64</v>
      </c>
      <c r="H7" s="20" t="s">
        <v>87</v>
      </c>
      <c r="I7" s="21" t="s">
        <v>88</v>
      </c>
      <c r="J7" s="21"/>
      <c r="K7" s="21" t="s">
        <v>89</v>
      </c>
      <c r="L7" s="21">
        <v>0.06</v>
      </c>
      <c r="M7" s="22" t="s">
        <v>67</v>
      </c>
    </row>
    <row r="8" spans="1:13" ht="17" thickBot="1" x14ac:dyDescent="0.25">
      <c r="A8" s="11" t="s">
        <v>90</v>
      </c>
      <c r="B8" s="12" t="s">
        <v>91</v>
      </c>
      <c r="C8" s="23" t="s">
        <v>92</v>
      </c>
      <c r="D8" s="12" t="s">
        <v>63</v>
      </c>
      <c r="E8" s="14">
        <v>6</v>
      </c>
      <c r="F8" s="19">
        <v>2498</v>
      </c>
      <c r="G8" s="20" t="s">
        <v>64</v>
      </c>
      <c r="H8" s="20" t="s">
        <v>93</v>
      </c>
      <c r="I8" s="21" t="s">
        <v>66</v>
      </c>
      <c r="J8" s="21"/>
      <c r="K8" s="21" t="s">
        <v>66</v>
      </c>
      <c r="L8" s="21" t="s">
        <v>80</v>
      </c>
      <c r="M8" s="22" t="s">
        <v>67</v>
      </c>
    </row>
    <row r="9" spans="1:13" ht="17" thickBot="1" x14ac:dyDescent="0.25">
      <c r="A9" s="11" t="s">
        <v>94</v>
      </c>
      <c r="B9" s="12" t="s">
        <v>69</v>
      </c>
      <c r="C9" s="23" t="s">
        <v>95</v>
      </c>
      <c r="D9" s="12" t="s">
        <v>63</v>
      </c>
      <c r="E9" s="14">
        <v>5</v>
      </c>
      <c r="F9" s="19">
        <v>3442</v>
      </c>
      <c r="G9" s="20" t="s">
        <v>64</v>
      </c>
      <c r="H9" s="20" t="s">
        <v>93</v>
      </c>
      <c r="I9" s="21" t="s">
        <v>66</v>
      </c>
      <c r="J9" s="21"/>
      <c r="K9" s="21" t="s">
        <v>66</v>
      </c>
      <c r="L9" s="21" t="s">
        <v>80</v>
      </c>
      <c r="M9" s="22" t="s">
        <v>67</v>
      </c>
    </row>
    <row r="10" spans="1:13" ht="17" thickBot="1" x14ac:dyDescent="0.25">
      <c r="A10" s="11" t="s">
        <v>96</v>
      </c>
      <c r="B10" s="12" t="s">
        <v>11</v>
      </c>
      <c r="C10" s="23" t="s">
        <v>86</v>
      </c>
      <c r="D10" s="12" t="s">
        <v>97</v>
      </c>
      <c r="E10" s="14">
        <v>8</v>
      </c>
      <c r="F10" s="19">
        <v>1861</v>
      </c>
      <c r="G10" s="20" t="s">
        <v>64</v>
      </c>
      <c r="H10" s="20" t="s">
        <v>98</v>
      </c>
      <c r="I10" s="21" t="s">
        <v>88</v>
      </c>
      <c r="J10" s="21"/>
      <c r="K10" s="21" t="s">
        <v>89</v>
      </c>
      <c r="L10" s="21"/>
      <c r="M10" s="22"/>
    </row>
    <row r="11" spans="1:13" ht="17" thickBot="1" x14ac:dyDescent="0.25">
      <c r="A11" s="11" t="s">
        <v>99</v>
      </c>
      <c r="B11" s="12" t="s">
        <v>11</v>
      </c>
      <c r="C11" s="23" t="s">
        <v>100</v>
      </c>
      <c r="D11" s="12" t="s">
        <v>101</v>
      </c>
      <c r="E11" s="14">
        <v>6</v>
      </c>
      <c r="F11" s="21" t="s">
        <v>102</v>
      </c>
      <c r="G11" s="20" t="s">
        <v>64</v>
      </c>
      <c r="H11" s="20" t="s">
        <v>103</v>
      </c>
      <c r="I11" s="21" t="s">
        <v>66</v>
      </c>
      <c r="J11" s="21"/>
      <c r="K11" s="21" t="s">
        <v>66</v>
      </c>
      <c r="L11" s="21">
        <v>6.4000000000000001E-2</v>
      </c>
      <c r="M11" s="22" t="s">
        <v>67</v>
      </c>
    </row>
    <row r="12" spans="1:13" ht="17" thickBot="1" x14ac:dyDescent="0.25">
      <c r="A12" s="11" t="s">
        <v>104</v>
      </c>
      <c r="B12" s="12" t="s">
        <v>11</v>
      </c>
      <c r="C12" s="23" t="s">
        <v>105</v>
      </c>
      <c r="D12" s="12" t="s">
        <v>83</v>
      </c>
      <c r="E12" s="14">
        <v>7</v>
      </c>
      <c r="F12" s="19">
        <v>1744</v>
      </c>
      <c r="G12" s="20" t="s">
        <v>64</v>
      </c>
      <c r="H12" s="20" t="s">
        <v>79</v>
      </c>
      <c r="I12" s="21" t="s">
        <v>66</v>
      </c>
      <c r="J12" s="21"/>
      <c r="K12" s="21" t="s">
        <v>66</v>
      </c>
      <c r="L12" s="21">
        <v>0.03</v>
      </c>
      <c r="M12" s="22" t="s">
        <v>67</v>
      </c>
    </row>
    <row r="13" spans="1:13" ht="17" thickBot="1" x14ac:dyDescent="0.25">
      <c r="A13" s="11" t="s">
        <v>106</v>
      </c>
      <c r="B13" s="12" t="s">
        <v>11</v>
      </c>
      <c r="C13" s="23" t="s">
        <v>107</v>
      </c>
      <c r="D13" s="12" t="s">
        <v>101</v>
      </c>
      <c r="E13" s="14">
        <v>8</v>
      </c>
      <c r="F13" s="19">
        <v>1371</v>
      </c>
      <c r="G13" s="20" t="s">
        <v>74</v>
      </c>
      <c r="H13" s="20" t="s">
        <v>108</v>
      </c>
      <c r="I13" s="21" t="s">
        <v>66</v>
      </c>
      <c r="J13" s="21"/>
      <c r="K13" s="21" t="s">
        <v>66</v>
      </c>
      <c r="L13" s="21">
        <v>4.4999999999999998E-2</v>
      </c>
      <c r="M13" s="22" t="s">
        <v>67</v>
      </c>
    </row>
    <row r="14" spans="1:13" ht="17" thickBot="1" x14ac:dyDescent="0.25">
      <c r="A14" s="11" t="s">
        <v>109</v>
      </c>
      <c r="B14" s="12" t="s">
        <v>11</v>
      </c>
      <c r="C14" s="23" t="s">
        <v>110</v>
      </c>
      <c r="D14" s="12" t="s">
        <v>101</v>
      </c>
      <c r="E14" s="14">
        <v>8</v>
      </c>
      <c r="F14" s="19">
        <v>1640</v>
      </c>
      <c r="G14" s="20" t="s">
        <v>64</v>
      </c>
      <c r="H14" s="20" t="s">
        <v>111</v>
      </c>
      <c r="I14" s="21" t="s">
        <v>66</v>
      </c>
      <c r="J14" s="21"/>
      <c r="K14" s="21" t="s">
        <v>66</v>
      </c>
      <c r="L14" s="21">
        <v>6.9000000000000006E-2</v>
      </c>
      <c r="M14" s="22" t="s">
        <v>67</v>
      </c>
    </row>
    <row r="15" spans="1:13" ht="17" thickBot="1" x14ac:dyDescent="0.25">
      <c r="A15" s="11" t="s">
        <v>112</v>
      </c>
      <c r="B15" s="12" t="s">
        <v>11</v>
      </c>
      <c r="C15" s="23" t="s">
        <v>113</v>
      </c>
      <c r="D15" s="12" t="s">
        <v>101</v>
      </c>
      <c r="E15" s="14">
        <v>7</v>
      </c>
      <c r="F15" s="19">
        <v>1404</v>
      </c>
      <c r="G15" s="20" t="s">
        <v>74</v>
      </c>
      <c r="H15" s="20" t="s">
        <v>114</v>
      </c>
      <c r="I15" s="21" t="s">
        <v>66</v>
      </c>
      <c r="J15" s="21"/>
      <c r="K15" s="21" t="s">
        <v>66</v>
      </c>
      <c r="L15" s="21">
        <v>3.9E-2</v>
      </c>
      <c r="M15" s="22" t="s">
        <v>67</v>
      </c>
    </row>
    <row r="16" spans="1:13" ht="17" thickBot="1" x14ac:dyDescent="0.25">
      <c r="A16" s="11" t="s">
        <v>115</v>
      </c>
      <c r="B16" s="12" t="s">
        <v>25</v>
      </c>
      <c r="C16" s="23" t="s">
        <v>116</v>
      </c>
      <c r="D16" s="12" t="s">
        <v>101</v>
      </c>
      <c r="E16" s="14">
        <v>1</v>
      </c>
      <c r="F16" s="21" t="s">
        <v>117</v>
      </c>
      <c r="G16" s="20" t="s">
        <v>74</v>
      </c>
      <c r="H16" s="20" t="s">
        <v>118</v>
      </c>
      <c r="I16" s="21" t="s">
        <v>119</v>
      </c>
      <c r="J16" s="21"/>
      <c r="K16" s="21" t="s">
        <v>119</v>
      </c>
      <c r="L16" s="21"/>
      <c r="M16" s="22"/>
    </row>
    <row r="17" spans="1:13" ht="17" thickBot="1" x14ac:dyDescent="0.25">
      <c r="A17" s="11" t="s">
        <v>120</v>
      </c>
      <c r="B17" s="12" t="s">
        <v>25</v>
      </c>
      <c r="C17" s="23" t="s">
        <v>121</v>
      </c>
      <c r="D17" s="12" t="s">
        <v>101</v>
      </c>
      <c r="E17" s="14">
        <v>8</v>
      </c>
      <c r="F17" s="19">
        <v>2084</v>
      </c>
      <c r="G17" s="20" t="s">
        <v>64</v>
      </c>
      <c r="H17" s="20" t="s">
        <v>122</v>
      </c>
      <c r="I17" s="21" t="s">
        <v>119</v>
      </c>
      <c r="J17" s="21"/>
      <c r="K17" s="21" t="s">
        <v>119</v>
      </c>
      <c r="L17" s="21">
        <v>6.0999999999999999E-2</v>
      </c>
      <c r="M17" s="22" t="s">
        <v>67</v>
      </c>
    </row>
    <row r="18" spans="1:13" ht="17" thickBot="1" x14ac:dyDescent="0.25">
      <c r="A18" s="11" t="s">
        <v>123</v>
      </c>
      <c r="B18" s="12" t="s">
        <v>11</v>
      </c>
      <c r="C18" s="23" t="s">
        <v>124</v>
      </c>
      <c r="D18" s="12" t="s">
        <v>101</v>
      </c>
      <c r="E18" s="14">
        <v>4</v>
      </c>
      <c r="F18" s="19">
        <v>2206</v>
      </c>
      <c r="G18" s="20" t="s">
        <v>74</v>
      </c>
      <c r="H18" s="20" t="s">
        <v>125</v>
      </c>
      <c r="I18" s="21" t="s">
        <v>119</v>
      </c>
      <c r="J18" s="21"/>
      <c r="K18" s="21" t="s">
        <v>119</v>
      </c>
      <c r="L18" s="21">
        <v>2.1000000000000001E-2</v>
      </c>
      <c r="M18" s="22" t="s">
        <v>67</v>
      </c>
    </row>
    <row r="19" spans="1:13" ht="17" thickBot="1" x14ac:dyDescent="0.25">
      <c r="A19" s="11" t="s">
        <v>126</v>
      </c>
      <c r="B19" s="12" t="s">
        <v>11</v>
      </c>
      <c r="C19" s="23" t="s">
        <v>127</v>
      </c>
      <c r="D19" s="12" t="s">
        <v>101</v>
      </c>
      <c r="E19" s="14"/>
      <c r="F19" s="19">
        <v>1062</v>
      </c>
      <c r="G19" s="20" t="s">
        <v>74</v>
      </c>
      <c r="H19" s="20" t="s">
        <v>128</v>
      </c>
      <c r="I19" s="21" t="s">
        <v>119</v>
      </c>
      <c r="J19" s="21"/>
      <c r="K19" s="21" t="s">
        <v>119</v>
      </c>
      <c r="L19" s="21">
        <v>4.1000000000000002E-2</v>
      </c>
      <c r="M19" s="22" t="s">
        <v>67</v>
      </c>
    </row>
    <row r="20" spans="1:13" ht="17" thickBot="1" x14ac:dyDescent="0.25">
      <c r="A20" s="11" t="s">
        <v>129</v>
      </c>
      <c r="B20" s="12" t="s">
        <v>11</v>
      </c>
      <c r="C20" s="23" t="s">
        <v>130</v>
      </c>
      <c r="D20" s="12" t="s">
        <v>101</v>
      </c>
      <c r="E20" s="14">
        <v>9</v>
      </c>
      <c r="F20" s="19">
        <v>3521</v>
      </c>
      <c r="G20" s="20" t="s">
        <v>74</v>
      </c>
      <c r="H20" s="20" t="s">
        <v>131</v>
      </c>
      <c r="I20" s="21" t="s">
        <v>119</v>
      </c>
      <c r="J20" s="21"/>
      <c r="K20" s="21" t="s">
        <v>119</v>
      </c>
      <c r="L20" s="21">
        <v>0.02</v>
      </c>
      <c r="M20" s="22" t="s">
        <v>67</v>
      </c>
    </row>
    <row r="21" spans="1:13" ht="17" thickBot="1" x14ac:dyDescent="0.25">
      <c r="A21" s="11" t="s">
        <v>132</v>
      </c>
      <c r="B21" s="12" t="s">
        <v>11</v>
      </c>
      <c r="C21" s="13" t="s">
        <v>133</v>
      </c>
      <c r="D21" s="12" t="s">
        <v>83</v>
      </c>
      <c r="E21" s="14">
        <v>3</v>
      </c>
      <c r="F21" s="19">
        <v>3644</v>
      </c>
      <c r="G21" s="20" t="s">
        <v>74</v>
      </c>
      <c r="H21" s="20" t="s">
        <v>134</v>
      </c>
      <c r="I21" s="21" t="s">
        <v>119</v>
      </c>
      <c r="J21" s="21"/>
      <c r="K21" s="21" t="s">
        <v>119</v>
      </c>
      <c r="L21" s="21">
        <v>2.9000000000000001E-2</v>
      </c>
      <c r="M21" s="22" t="s">
        <v>67</v>
      </c>
    </row>
    <row r="22" spans="1:13" ht="17" thickBot="1" x14ac:dyDescent="0.25">
      <c r="A22" s="11" t="s">
        <v>135</v>
      </c>
      <c r="B22" s="12" t="s">
        <v>136</v>
      </c>
      <c r="C22" s="13" t="s">
        <v>137</v>
      </c>
      <c r="D22" s="12" t="s">
        <v>138</v>
      </c>
      <c r="E22" s="14">
        <v>4</v>
      </c>
      <c r="F22" s="19">
        <v>3644</v>
      </c>
      <c r="G22" s="20" t="s">
        <v>139</v>
      </c>
      <c r="H22" s="20" t="s">
        <v>140</v>
      </c>
      <c r="I22" s="21" t="s">
        <v>141</v>
      </c>
      <c r="J22" s="21">
        <v>3.0000000000000001E-3</v>
      </c>
      <c r="K22" s="21" t="s">
        <v>142</v>
      </c>
      <c r="L22" s="21" t="s">
        <v>80</v>
      </c>
      <c r="M22" s="22" t="s">
        <v>143</v>
      </c>
    </row>
    <row r="23" spans="1:13" ht="17" thickBot="1" x14ac:dyDescent="0.25">
      <c r="A23" s="11" t="s">
        <v>144</v>
      </c>
      <c r="B23" s="12" t="s">
        <v>11</v>
      </c>
      <c r="C23" s="24" t="s">
        <v>145</v>
      </c>
      <c r="D23" s="12" t="s">
        <v>138</v>
      </c>
      <c r="E23" s="14">
        <v>3</v>
      </c>
      <c r="F23" s="19">
        <v>2630</v>
      </c>
      <c r="G23" s="20" t="s">
        <v>139</v>
      </c>
      <c r="H23" s="20" t="s">
        <v>146</v>
      </c>
      <c r="I23" s="21" t="s">
        <v>141</v>
      </c>
      <c r="J23" s="21">
        <v>0.26800000000000002</v>
      </c>
      <c r="K23" s="21" t="s">
        <v>142</v>
      </c>
      <c r="L23" s="21">
        <v>0.17499999999999999</v>
      </c>
      <c r="M23" s="22" t="s">
        <v>147</v>
      </c>
    </row>
    <row r="24" spans="1:13" ht="17" thickBot="1" x14ac:dyDescent="0.25">
      <c r="A24" s="11" t="s">
        <v>148</v>
      </c>
      <c r="B24" s="12" t="s">
        <v>11</v>
      </c>
      <c r="C24" s="24" t="s">
        <v>149</v>
      </c>
      <c r="D24" s="12" t="s">
        <v>138</v>
      </c>
      <c r="E24" s="14">
        <v>1</v>
      </c>
      <c r="F24" s="19">
        <v>1194</v>
      </c>
      <c r="G24" s="20" t="s">
        <v>139</v>
      </c>
      <c r="H24" s="20" t="s">
        <v>150</v>
      </c>
      <c r="I24" s="21" t="s">
        <v>141</v>
      </c>
      <c r="J24" s="21">
        <v>8.4000000000000005E-2</v>
      </c>
      <c r="K24" s="21" t="s">
        <v>142</v>
      </c>
      <c r="L24" s="21">
        <v>8.1000000000000003E-2</v>
      </c>
      <c r="M24" s="22" t="s">
        <v>143</v>
      </c>
    </row>
    <row r="25" spans="1:13" ht="17" thickBot="1" x14ac:dyDescent="0.25">
      <c r="A25" s="25" t="s">
        <v>151</v>
      </c>
      <c r="B25" s="26" t="s">
        <v>152</v>
      </c>
      <c r="C25" s="27" t="s">
        <v>153</v>
      </c>
      <c r="D25" s="25" t="s">
        <v>154</v>
      </c>
      <c r="E25" s="25">
        <v>1</v>
      </c>
      <c r="F25" s="21" t="s">
        <v>155</v>
      </c>
      <c r="G25" s="20" t="s">
        <v>139</v>
      </c>
      <c r="H25" s="20" t="s">
        <v>156</v>
      </c>
      <c r="I25" s="21" t="s">
        <v>141</v>
      </c>
      <c r="J25" s="21">
        <v>2E-3</v>
      </c>
      <c r="K25" s="21" t="s">
        <v>142</v>
      </c>
      <c r="L25" s="21" t="s">
        <v>80</v>
      </c>
      <c r="M25" s="22" t="s">
        <v>143</v>
      </c>
    </row>
    <row r="26" spans="1:13" ht="17" thickBot="1" x14ac:dyDescent="0.25">
      <c r="A26" s="11" t="s">
        <v>157</v>
      </c>
      <c r="B26" s="12" t="s">
        <v>158</v>
      </c>
      <c r="C26" s="24" t="s">
        <v>159</v>
      </c>
      <c r="D26" s="12" t="s">
        <v>154</v>
      </c>
      <c r="E26" s="14">
        <v>2</v>
      </c>
      <c r="F26" s="19">
        <v>1360</v>
      </c>
      <c r="G26" s="20" t="s">
        <v>139</v>
      </c>
      <c r="H26" s="20" t="s">
        <v>160</v>
      </c>
      <c r="I26" s="21" t="s">
        <v>141</v>
      </c>
      <c r="J26" s="21">
        <v>4.1000000000000002E-2</v>
      </c>
      <c r="K26" s="21" t="s">
        <v>142</v>
      </c>
      <c r="L26" s="21">
        <v>4.1000000000000002E-2</v>
      </c>
      <c r="M26" s="22" t="s">
        <v>143</v>
      </c>
    </row>
    <row r="27" spans="1:13" ht="17" thickBot="1" x14ac:dyDescent="0.25">
      <c r="A27" s="25" t="s">
        <v>161</v>
      </c>
      <c r="B27" s="26" t="s">
        <v>162</v>
      </c>
      <c r="C27" s="28" t="s">
        <v>163</v>
      </c>
      <c r="D27" s="25" t="s">
        <v>154</v>
      </c>
      <c r="E27" s="29">
        <v>1</v>
      </c>
      <c r="F27" s="21" t="s">
        <v>164</v>
      </c>
      <c r="G27" s="20" t="s">
        <v>139</v>
      </c>
      <c r="H27" s="20" t="s">
        <v>165</v>
      </c>
      <c r="I27" s="21" t="s">
        <v>141</v>
      </c>
      <c r="J27" s="21">
        <v>8.0000000000000002E-3</v>
      </c>
      <c r="K27" s="21" t="s">
        <v>142</v>
      </c>
      <c r="L27" s="21">
        <v>7.0000000000000001E-3</v>
      </c>
      <c r="M27" s="22" t="s">
        <v>143</v>
      </c>
    </row>
    <row r="28" spans="1:13" ht="17" thickBot="1" x14ac:dyDescent="0.25">
      <c r="A28" s="25" t="s">
        <v>166</v>
      </c>
      <c r="B28" s="26" t="s">
        <v>162</v>
      </c>
      <c r="C28" s="28" t="s">
        <v>163</v>
      </c>
      <c r="D28" s="25" t="s">
        <v>154</v>
      </c>
      <c r="E28" s="29">
        <v>2</v>
      </c>
      <c r="F28" s="21" t="s">
        <v>167</v>
      </c>
      <c r="G28" s="20" t="s">
        <v>139</v>
      </c>
      <c r="H28" s="20" t="s">
        <v>168</v>
      </c>
      <c r="I28" s="21" t="s">
        <v>141</v>
      </c>
      <c r="J28" s="21">
        <v>1.2999999999999999E-2</v>
      </c>
      <c r="K28" s="21" t="s">
        <v>142</v>
      </c>
      <c r="L28" s="21">
        <v>1.2E-2</v>
      </c>
      <c r="M28" s="22" t="s">
        <v>143</v>
      </c>
    </row>
    <row r="29" spans="1:13" ht="17" thickBot="1" x14ac:dyDescent="0.25">
      <c r="A29" s="11" t="s">
        <v>169</v>
      </c>
      <c r="B29" s="12" t="s">
        <v>170</v>
      </c>
      <c r="C29" s="30" t="s">
        <v>171</v>
      </c>
      <c r="D29" s="12" t="s">
        <v>172</v>
      </c>
      <c r="E29" s="14">
        <v>2</v>
      </c>
      <c r="F29" s="19">
        <v>1902</v>
      </c>
      <c r="G29" s="20" t="s">
        <v>139</v>
      </c>
      <c r="H29" s="20" t="s">
        <v>173</v>
      </c>
      <c r="I29" s="21" t="s">
        <v>141</v>
      </c>
      <c r="J29" s="21">
        <v>3.0000000000000001E-3</v>
      </c>
      <c r="K29" s="21" t="s">
        <v>142</v>
      </c>
      <c r="L29" s="21">
        <v>2E-3</v>
      </c>
      <c r="M29" s="22" t="s">
        <v>143</v>
      </c>
    </row>
    <row r="30" spans="1:13" ht="17" thickBot="1" x14ac:dyDescent="0.25">
      <c r="A30" s="25" t="s">
        <v>174</v>
      </c>
      <c r="B30" s="26" t="s">
        <v>170</v>
      </c>
      <c r="C30" s="27" t="s">
        <v>175</v>
      </c>
      <c r="D30" s="25" t="s">
        <v>154</v>
      </c>
      <c r="E30" s="29">
        <v>2</v>
      </c>
      <c r="F30" s="19">
        <v>1753</v>
      </c>
      <c r="G30" s="20" t="s">
        <v>139</v>
      </c>
      <c r="H30" s="20" t="s">
        <v>176</v>
      </c>
      <c r="I30" s="21" t="s">
        <v>141</v>
      </c>
      <c r="J30" s="21">
        <v>3.0000000000000001E-3</v>
      </c>
      <c r="K30" s="21" t="s">
        <v>142</v>
      </c>
      <c r="L30" s="21" t="s">
        <v>80</v>
      </c>
      <c r="M30" s="22" t="s">
        <v>143</v>
      </c>
    </row>
    <row r="31" spans="1:13" ht="17" thickBot="1" x14ac:dyDescent="0.25">
      <c r="A31" s="11" t="s">
        <v>177</v>
      </c>
      <c r="B31" s="12" t="s">
        <v>91</v>
      </c>
      <c r="C31" s="31" t="s">
        <v>178</v>
      </c>
      <c r="D31" s="12" t="s">
        <v>154</v>
      </c>
      <c r="E31" s="14">
        <v>2</v>
      </c>
      <c r="F31" s="19">
        <v>2007</v>
      </c>
      <c r="G31" s="20" t="s">
        <v>139</v>
      </c>
      <c r="H31" s="20" t="s">
        <v>179</v>
      </c>
      <c r="I31" s="21" t="s">
        <v>141</v>
      </c>
      <c r="J31" s="21">
        <v>2E-3</v>
      </c>
      <c r="K31" s="21" t="s">
        <v>142</v>
      </c>
      <c r="L31" s="21">
        <v>2E-3</v>
      </c>
      <c r="M31" s="22" t="s">
        <v>143</v>
      </c>
    </row>
    <row r="32" spans="1:13" ht="17" thickBot="1" x14ac:dyDescent="0.25">
      <c r="A32" s="11" t="s">
        <v>180</v>
      </c>
      <c r="B32" s="12" t="s">
        <v>181</v>
      </c>
      <c r="C32" s="31" t="s">
        <v>182</v>
      </c>
      <c r="D32" s="12" t="s">
        <v>172</v>
      </c>
      <c r="E32" s="14">
        <v>4</v>
      </c>
      <c r="F32" s="19">
        <v>4110</v>
      </c>
      <c r="G32" s="20" t="s">
        <v>183</v>
      </c>
      <c r="H32" s="20" t="s">
        <v>184</v>
      </c>
      <c r="I32" s="21" t="s">
        <v>141</v>
      </c>
      <c r="J32" s="21">
        <v>6.0000000000000001E-3</v>
      </c>
      <c r="K32" s="21" t="s">
        <v>142</v>
      </c>
      <c r="L32" s="21">
        <v>5.0000000000000001E-3</v>
      </c>
      <c r="M32" s="22" t="s">
        <v>143</v>
      </c>
    </row>
    <row r="33" spans="1:13" ht="17" thickBot="1" x14ac:dyDescent="0.25">
      <c r="A33" s="11" t="s">
        <v>185</v>
      </c>
      <c r="B33" s="12" t="s">
        <v>158</v>
      </c>
      <c r="C33" s="31" t="s">
        <v>186</v>
      </c>
      <c r="D33" s="12" t="s">
        <v>154</v>
      </c>
      <c r="E33" s="14">
        <v>3</v>
      </c>
      <c r="F33" s="19">
        <v>2885</v>
      </c>
      <c r="G33" s="20" t="s">
        <v>139</v>
      </c>
      <c r="H33" s="20" t="s">
        <v>187</v>
      </c>
      <c r="I33" s="21" t="s">
        <v>141</v>
      </c>
      <c r="J33" s="21">
        <v>8.0000000000000002E-3</v>
      </c>
      <c r="K33" s="21" t="s">
        <v>142</v>
      </c>
      <c r="L33" s="21">
        <v>7.0000000000000001E-3</v>
      </c>
      <c r="M33" s="22" t="s">
        <v>143</v>
      </c>
    </row>
    <row r="34" spans="1:13" ht="17" thickBot="1" x14ac:dyDescent="0.25">
      <c r="A34" s="11" t="s">
        <v>188</v>
      </c>
      <c r="B34" s="12" t="s">
        <v>189</v>
      </c>
      <c r="C34" s="24" t="s">
        <v>190</v>
      </c>
      <c r="D34" s="12" t="s">
        <v>191</v>
      </c>
      <c r="E34" s="14" t="s">
        <v>192</v>
      </c>
      <c r="F34" s="21" t="s">
        <v>193</v>
      </c>
      <c r="G34" s="20" t="s">
        <v>183</v>
      </c>
      <c r="H34" s="20" t="s">
        <v>194</v>
      </c>
      <c r="I34" s="21" t="s">
        <v>194</v>
      </c>
      <c r="J34" s="21" t="s">
        <v>194</v>
      </c>
      <c r="K34" s="21" t="s">
        <v>194</v>
      </c>
      <c r="L34" s="21" t="s">
        <v>194</v>
      </c>
      <c r="M34" s="22" t="s">
        <v>194</v>
      </c>
    </row>
    <row r="35" spans="1:13" ht="17" thickBot="1" x14ac:dyDescent="0.25">
      <c r="A35" s="11" t="s">
        <v>195</v>
      </c>
      <c r="B35" s="12" t="s">
        <v>189</v>
      </c>
      <c r="C35" s="31" t="s">
        <v>196</v>
      </c>
      <c r="D35" s="12" t="s">
        <v>172</v>
      </c>
      <c r="E35" s="14">
        <v>5</v>
      </c>
      <c r="F35" s="19">
        <v>5344</v>
      </c>
      <c r="G35" s="20" t="s">
        <v>183</v>
      </c>
      <c r="H35" s="20">
        <v>0.29299999999999998</v>
      </c>
      <c r="I35" s="21" t="s">
        <v>197</v>
      </c>
      <c r="J35" s="21">
        <v>3.2000000000000001E-2</v>
      </c>
      <c r="K35" s="21" t="s">
        <v>142</v>
      </c>
      <c r="L35" s="21">
        <v>2.5999999999999999E-2</v>
      </c>
      <c r="M35" s="22" t="s">
        <v>143</v>
      </c>
    </row>
    <row r="36" spans="1:13" ht="17" thickBot="1" x14ac:dyDescent="0.25">
      <c r="A36" s="11" t="s">
        <v>198</v>
      </c>
      <c r="B36" s="12" t="s">
        <v>199</v>
      </c>
      <c r="C36" s="24" t="s">
        <v>200</v>
      </c>
      <c r="D36" s="12"/>
      <c r="E36" s="14">
        <v>3</v>
      </c>
      <c r="F36" s="19">
        <v>2474</v>
      </c>
      <c r="G36" s="20" t="s">
        <v>183</v>
      </c>
      <c r="H36" s="20">
        <v>9.9000000000000005E-2</v>
      </c>
      <c r="I36" s="21" t="s">
        <v>197</v>
      </c>
      <c r="J36" s="21">
        <v>4.0000000000000001E-3</v>
      </c>
      <c r="K36" s="21" t="s">
        <v>201</v>
      </c>
      <c r="L36" s="21">
        <v>4.0000000000000001E-3</v>
      </c>
      <c r="M36" s="22" t="s">
        <v>143</v>
      </c>
    </row>
    <row r="37" spans="1:13" ht="17" thickBot="1" x14ac:dyDescent="0.25">
      <c r="A37" s="11" t="s">
        <v>202</v>
      </c>
      <c r="B37" s="12" t="s">
        <v>203</v>
      </c>
      <c r="C37" s="24" t="s">
        <v>204</v>
      </c>
      <c r="D37" s="12" t="s">
        <v>172</v>
      </c>
      <c r="E37" s="14">
        <v>8</v>
      </c>
      <c r="F37" s="19">
        <v>7878</v>
      </c>
      <c r="G37" s="20" t="s">
        <v>183</v>
      </c>
      <c r="H37" s="20">
        <v>0.42399999999999999</v>
      </c>
      <c r="I37" s="21" t="s">
        <v>197</v>
      </c>
      <c r="J37" s="21">
        <v>2E-3</v>
      </c>
      <c r="K37" s="21" t="s">
        <v>201</v>
      </c>
      <c r="L37" s="21" t="s">
        <v>80</v>
      </c>
      <c r="M37" s="22" t="s">
        <v>143</v>
      </c>
    </row>
    <row r="38" spans="1:13" ht="17" thickBot="1" x14ac:dyDescent="0.25">
      <c r="A38" s="11" t="s">
        <v>205</v>
      </c>
      <c r="B38" s="12" t="s">
        <v>181</v>
      </c>
      <c r="C38" s="24" t="s">
        <v>206</v>
      </c>
      <c r="D38" s="12" t="s">
        <v>172</v>
      </c>
      <c r="E38" s="14">
        <v>2</v>
      </c>
      <c r="F38" s="19">
        <v>1878</v>
      </c>
      <c r="G38" s="20" t="s">
        <v>139</v>
      </c>
      <c r="H38" s="20" t="s">
        <v>207</v>
      </c>
      <c r="I38" s="21" t="s">
        <v>197</v>
      </c>
      <c r="J38" s="21">
        <v>4.0000000000000001E-3</v>
      </c>
      <c r="K38" s="21" t="s">
        <v>201</v>
      </c>
      <c r="L38" s="21">
        <v>5.0000000000000001E-3</v>
      </c>
      <c r="M38" s="22" t="s">
        <v>143</v>
      </c>
    </row>
    <row r="39" spans="1:13" ht="17" thickBot="1" x14ac:dyDescent="0.25">
      <c r="A39" s="11" t="s">
        <v>208</v>
      </c>
      <c r="B39" s="12" t="s">
        <v>181</v>
      </c>
      <c r="C39" s="24" t="s">
        <v>209</v>
      </c>
      <c r="D39" s="12" t="s">
        <v>191</v>
      </c>
      <c r="E39" s="14" t="s">
        <v>192</v>
      </c>
      <c r="F39" s="21" t="s">
        <v>210</v>
      </c>
      <c r="G39" s="20" t="s">
        <v>194</v>
      </c>
      <c r="H39" s="20" t="s">
        <v>194</v>
      </c>
      <c r="I39" s="21" t="s">
        <v>194</v>
      </c>
      <c r="J39" s="21" t="s">
        <v>194</v>
      </c>
      <c r="K39" s="21" t="s">
        <v>194</v>
      </c>
      <c r="L39" s="21" t="s">
        <v>194</v>
      </c>
      <c r="M39" s="22" t="s">
        <v>194</v>
      </c>
    </row>
    <row r="40" spans="1:13" ht="17" thickBot="1" x14ac:dyDescent="0.25">
      <c r="A40" s="25" t="s">
        <v>211</v>
      </c>
      <c r="B40" s="26" t="s">
        <v>158</v>
      </c>
      <c r="C40" s="27" t="s">
        <v>212</v>
      </c>
      <c r="D40" s="25" t="s">
        <v>172</v>
      </c>
      <c r="E40" s="29">
        <v>3</v>
      </c>
      <c r="F40" s="19">
        <v>3180</v>
      </c>
      <c r="G40" s="20" t="s">
        <v>183</v>
      </c>
      <c r="H40" s="20">
        <v>0.309</v>
      </c>
      <c r="I40" s="21" t="s">
        <v>197</v>
      </c>
      <c r="J40" s="21">
        <v>5.0000000000000001E-3</v>
      </c>
      <c r="K40" s="21" t="s">
        <v>201</v>
      </c>
      <c r="L40" s="21">
        <v>4.0000000000000001E-3</v>
      </c>
      <c r="M40" s="22" t="s">
        <v>143</v>
      </c>
    </row>
    <row r="41" spans="1:13" ht="17" thickBot="1" x14ac:dyDescent="0.25">
      <c r="A41" s="11" t="s">
        <v>213</v>
      </c>
      <c r="B41" s="12" t="s">
        <v>170</v>
      </c>
      <c r="C41" s="13" t="s">
        <v>214</v>
      </c>
      <c r="D41" s="12" t="s">
        <v>172</v>
      </c>
      <c r="E41" s="14">
        <v>4</v>
      </c>
      <c r="F41" s="19">
        <v>4205</v>
      </c>
      <c r="G41" s="20" t="s">
        <v>183</v>
      </c>
      <c r="H41" s="20">
        <v>0.41</v>
      </c>
      <c r="I41" s="21" t="s">
        <v>197</v>
      </c>
      <c r="J41" s="21">
        <v>8.0000000000000002E-3</v>
      </c>
      <c r="K41" s="21" t="s">
        <v>201</v>
      </c>
      <c r="L41" s="21">
        <v>3.0000000000000001E-3</v>
      </c>
      <c r="M41" s="22" t="s">
        <v>143</v>
      </c>
    </row>
    <row r="42" spans="1:13" ht="17" thickBot="1" x14ac:dyDescent="0.25">
      <c r="A42" s="11" t="s">
        <v>215</v>
      </c>
      <c r="B42" s="12" t="s">
        <v>216</v>
      </c>
      <c r="C42" s="24" t="s">
        <v>217</v>
      </c>
      <c r="D42" s="12" t="s">
        <v>172</v>
      </c>
      <c r="E42" s="14">
        <v>3</v>
      </c>
      <c r="F42" s="19">
        <v>3189</v>
      </c>
      <c r="G42" s="20" t="s">
        <v>183</v>
      </c>
      <c r="H42" s="20">
        <v>0.17</v>
      </c>
      <c r="I42" s="21" t="s">
        <v>197</v>
      </c>
      <c r="J42" s="21">
        <v>1.2999999999999999E-2</v>
      </c>
      <c r="K42" s="21" t="s">
        <v>201</v>
      </c>
      <c r="L42" s="21">
        <v>1.0999999999999999E-2</v>
      </c>
      <c r="M42" s="22" t="s">
        <v>143</v>
      </c>
    </row>
    <row r="43" spans="1:13" ht="17" thickBot="1" x14ac:dyDescent="0.25">
      <c r="A43" s="11" t="s">
        <v>218</v>
      </c>
      <c r="B43" s="12" t="s">
        <v>219</v>
      </c>
      <c r="C43" s="31" t="s">
        <v>220</v>
      </c>
      <c r="D43" s="12" t="s">
        <v>172</v>
      </c>
      <c r="E43" s="14">
        <v>4</v>
      </c>
      <c r="F43" s="19">
        <v>3761</v>
      </c>
      <c r="G43" s="20" t="s">
        <v>183</v>
      </c>
      <c r="H43" s="20">
        <v>0.35099999999999998</v>
      </c>
      <c r="I43" s="21" t="s">
        <v>197</v>
      </c>
      <c r="J43" s="21">
        <v>2E-3</v>
      </c>
      <c r="K43" s="21" t="s">
        <v>201</v>
      </c>
      <c r="L43" s="21" t="s">
        <v>80</v>
      </c>
      <c r="M43" s="22" t="s">
        <v>143</v>
      </c>
    </row>
    <row r="44" spans="1:13" ht="17" thickBot="1" x14ac:dyDescent="0.25">
      <c r="A44" s="11" t="s">
        <v>221</v>
      </c>
      <c r="B44" s="12" t="s">
        <v>219</v>
      </c>
      <c r="C44" s="31" t="s">
        <v>222</v>
      </c>
      <c r="D44" s="12" t="s">
        <v>223</v>
      </c>
      <c r="E44" s="14">
        <v>8</v>
      </c>
      <c r="F44" s="19">
        <v>4429</v>
      </c>
      <c r="G44" s="20" t="s">
        <v>183</v>
      </c>
      <c r="H44" s="20">
        <v>0.19800000000000001</v>
      </c>
      <c r="I44" s="21" t="s">
        <v>197</v>
      </c>
      <c r="J44" s="21">
        <v>4.0000000000000001E-3</v>
      </c>
      <c r="K44" s="21" t="s">
        <v>201</v>
      </c>
      <c r="L44" s="21">
        <v>2E-3</v>
      </c>
      <c r="M44" s="22" t="s">
        <v>143</v>
      </c>
    </row>
    <row r="45" spans="1:13" ht="17" thickBot="1" x14ac:dyDescent="0.25">
      <c r="A45" s="11" t="s">
        <v>224</v>
      </c>
      <c r="B45" s="12" t="s">
        <v>219</v>
      </c>
      <c r="C45" s="31" t="s">
        <v>222</v>
      </c>
      <c r="D45" s="12" t="s">
        <v>223</v>
      </c>
      <c r="E45" s="14">
        <v>8</v>
      </c>
      <c r="F45" s="19">
        <v>2993</v>
      </c>
      <c r="G45" s="20" t="s">
        <v>183</v>
      </c>
      <c r="H45" s="20">
        <v>0.246</v>
      </c>
      <c r="I45" s="21" t="s">
        <v>197</v>
      </c>
      <c r="J45" s="21">
        <v>2E-3</v>
      </c>
      <c r="K45" s="21" t="s">
        <v>201</v>
      </c>
      <c r="L45" s="21" t="s">
        <v>80</v>
      </c>
      <c r="M45" s="22" t="s">
        <v>143</v>
      </c>
    </row>
    <row r="46" spans="1:13" ht="17" thickBot="1" x14ac:dyDescent="0.25">
      <c r="A46" s="11" t="s">
        <v>225</v>
      </c>
      <c r="B46" s="12" t="s">
        <v>226</v>
      </c>
      <c r="C46" s="31" t="s">
        <v>227</v>
      </c>
      <c r="D46" s="12" t="s">
        <v>63</v>
      </c>
      <c r="E46" s="14">
        <v>4</v>
      </c>
      <c r="F46" s="21">
        <v>3.919</v>
      </c>
      <c r="G46" s="20" t="s">
        <v>228</v>
      </c>
      <c r="H46" s="20">
        <v>0.85599999999999998</v>
      </c>
      <c r="I46" s="21" t="s">
        <v>197</v>
      </c>
      <c r="J46" s="21">
        <v>4.9000000000000002E-2</v>
      </c>
      <c r="K46" s="21" t="s">
        <v>201</v>
      </c>
      <c r="L46" s="21">
        <v>4.8000000000000001E-2</v>
      </c>
      <c r="M46" s="22" t="s">
        <v>143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5"/>
  <sheetViews>
    <sheetView workbookViewId="0">
      <selection activeCell="H27" sqref="H27"/>
    </sheetView>
  </sheetViews>
  <sheetFormatPr baseColWidth="10" defaultRowHeight="16" x14ac:dyDescent="0.2"/>
  <cols>
    <col min="1" max="1" width="20" bestFit="1" customWidth="1"/>
  </cols>
  <sheetData>
    <row r="1" spans="1:86" x14ac:dyDescent="0.2">
      <c r="A1" t="s">
        <v>484</v>
      </c>
      <c r="B1" t="s">
        <v>485</v>
      </c>
      <c r="C1" s="63" t="s">
        <v>486</v>
      </c>
      <c r="D1" s="63" t="s">
        <v>487</v>
      </c>
      <c r="E1" s="63" t="s">
        <v>488</v>
      </c>
      <c r="F1" s="63" t="s">
        <v>489</v>
      </c>
      <c r="G1" s="63" t="s">
        <v>490</v>
      </c>
      <c r="H1" s="63" t="s">
        <v>491</v>
      </c>
      <c r="I1" s="63" t="s">
        <v>492</v>
      </c>
      <c r="J1" s="63" t="s">
        <v>493</v>
      </c>
      <c r="K1" s="63" t="s">
        <v>494</v>
      </c>
      <c r="L1" s="63" t="s">
        <v>495</v>
      </c>
      <c r="M1" s="63" t="s">
        <v>496</v>
      </c>
      <c r="N1" s="63" t="s">
        <v>497</v>
      </c>
      <c r="O1" s="63" t="s">
        <v>498</v>
      </c>
      <c r="P1" s="64" t="s">
        <v>499</v>
      </c>
      <c r="Q1" s="64" t="s">
        <v>500</v>
      </c>
      <c r="R1" s="64" t="s">
        <v>501</v>
      </c>
      <c r="S1" s="64" t="s">
        <v>502</v>
      </c>
      <c r="T1" s="64" t="s">
        <v>432</v>
      </c>
      <c r="U1" s="64" t="s">
        <v>503</v>
      </c>
      <c r="V1" s="64" t="s">
        <v>504</v>
      </c>
      <c r="W1" s="64" t="s">
        <v>505</v>
      </c>
      <c r="X1" s="63" t="s">
        <v>506</v>
      </c>
      <c r="Y1" s="63" t="s">
        <v>507</v>
      </c>
      <c r="Z1" s="63" t="s">
        <v>508</v>
      </c>
      <c r="AA1" s="64" t="s">
        <v>509</v>
      </c>
      <c r="AB1" s="63" t="s">
        <v>510</v>
      </c>
      <c r="AC1" s="63" t="s">
        <v>511</v>
      </c>
      <c r="AD1" s="63" t="s">
        <v>512</v>
      </c>
      <c r="AE1" s="63" t="s">
        <v>513</v>
      </c>
      <c r="AF1" s="63" t="s">
        <v>514</v>
      </c>
      <c r="AG1" s="63" t="s">
        <v>515</v>
      </c>
      <c r="AH1" s="64" t="s">
        <v>516</v>
      </c>
      <c r="AI1" s="63" t="s">
        <v>517</v>
      </c>
      <c r="AJ1" s="63" t="s">
        <v>518</v>
      </c>
      <c r="AK1" s="63" t="s">
        <v>519</v>
      </c>
      <c r="AL1" s="63" t="s">
        <v>520</v>
      </c>
      <c r="AM1" s="63" t="s">
        <v>521</v>
      </c>
      <c r="AN1" s="63" t="s">
        <v>522</v>
      </c>
      <c r="AO1" s="65" t="s">
        <v>523</v>
      </c>
      <c r="AP1" s="66" t="s">
        <v>524</v>
      </c>
      <c r="AQ1" s="65" t="s">
        <v>525</v>
      </c>
      <c r="AR1" s="65" t="s">
        <v>526</v>
      </c>
      <c r="AS1" s="67" t="s">
        <v>527</v>
      </c>
      <c r="AT1" s="63" t="s">
        <v>528</v>
      </c>
      <c r="AU1" s="63" t="s">
        <v>529</v>
      </c>
      <c r="AV1" s="64" t="s">
        <v>530</v>
      </c>
      <c r="AW1" s="68" t="s">
        <v>531</v>
      </c>
      <c r="AX1" s="68" t="s">
        <v>532</v>
      </c>
      <c r="AY1" s="68" t="s">
        <v>533</v>
      </c>
      <c r="AZ1" s="68" t="s">
        <v>534</v>
      </c>
      <c r="BA1" s="68" t="s">
        <v>535</v>
      </c>
      <c r="BB1" s="68" t="s">
        <v>536</v>
      </c>
      <c r="BC1" s="68" t="s">
        <v>537</v>
      </c>
      <c r="BD1" s="68" t="s">
        <v>538</v>
      </c>
      <c r="BE1" s="68" t="s">
        <v>539</v>
      </c>
      <c r="BF1" s="68" t="s">
        <v>540</v>
      </c>
      <c r="BG1" s="68" t="s">
        <v>541</v>
      </c>
      <c r="BH1" s="68" t="s">
        <v>542</v>
      </c>
      <c r="BI1" s="68" t="s">
        <v>543</v>
      </c>
      <c r="BJ1" s="68" t="s">
        <v>544</v>
      </c>
      <c r="BK1" s="68" t="s">
        <v>545</v>
      </c>
      <c r="BL1" s="68" t="s">
        <v>546</v>
      </c>
      <c r="BM1" s="68" t="s">
        <v>547</v>
      </c>
      <c r="BN1" s="68" t="s">
        <v>548</v>
      </c>
      <c r="BO1" s="68" t="s">
        <v>549</v>
      </c>
      <c r="BP1" s="68" t="s">
        <v>550</v>
      </c>
      <c r="BQ1" s="68" t="s">
        <v>551</v>
      </c>
      <c r="BR1" s="68" t="s">
        <v>552</v>
      </c>
      <c r="BS1" s="69" t="s">
        <v>553</v>
      </c>
      <c r="BT1" s="70" t="s">
        <v>554</v>
      </c>
      <c r="BU1" s="70" t="s">
        <v>555</v>
      </c>
      <c r="BV1" s="32" t="s">
        <v>556</v>
      </c>
      <c r="BW1" s="32" t="s">
        <v>557</v>
      </c>
      <c r="BX1" s="32" t="s">
        <v>558</v>
      </c>
      <c r="BY1" s="32" t="s">
        <v>559</v>
      </c>
      <c r="BZ1" s="71" t="s">
        <v>560</v>
      </c>
      <c r="CA1" s="72" t="s">
        <v>561</v>
      </c>
      <c r="CB1" s="73" t="s">
        <v>562</v>
      </c>
      <c r="CC1" s="32" t="s">
        <v>563</v>
      </c>
      <c r="CD1" s="32" t="s">
        <v>564</v>
      </c>
      <c r="CE1" s="32" t="s">
        <v>565</v>
      </c>
      <c r="CF1" s="32" t="s">
        <v>566</v>
      </c>
      <c r="CG1" s="32"/>
      <c r="CH1" s="32" t="s">
        <v>567</v>
      </c>
    </row>
    <row r="2" spans="1:86" x14ac:dyDescent="0.2">
      <c r="A2" t="s">
        <v>568</v>
      </c>
      <c r="B2" s="74">
        <v>0</v>
      </c>
      <c r="C2" s="74">
        <v>4</v>
      </c>
      <c r="D2" s="74">
        <v>0</v>
      </c>
      <c r="E2" s="74">
        <v>16</v>
      </c>
      <c r="F2" s="74">
        <v>14</v>
      </c>
      <c r="G2" s="74">
        <v>2</v>
      </c>
      <c r="H2" s="74">
        <v>0</v>
      </c>
      <c r="I2" s="74">
        <v>3</v>
      </c>
      <c r="J2" s="74">
        <v>41</v>
      </c>
      <c r="K2" s="74">
        <v>4</v>
      </c>
      <c r="L2" s="74">
        <v>5</v>
      </c>
      <c r="M2" s="74">
        <v>0</v>
      </c>
      <c r="N2" s="75">
        <f>SUM(Table2[[#This Row],[Bilobate concave outer margin long shaft var A GRS2]:[Bilobate concave outer margin long shaft var H GRS11]])</f>
        <v>85</v>
      </c>
      <c r="O2" s="74">
        <v>5</v>
      </c>
      <c r="P2" s="74">
        <v>38</v>
      </c>
      <c r="Q2" s="74">
        <v>5</v>
      </c>
      <c r="R2" s="74">
        <v>0</v>
      </c>
      <c r="S2" s="74">
        <v>0</v>
      </c>
      <c r="T2" s="74">
        <v>0</v>
      </c>
      <c r="U2" s="74">
        <v>0</v>
      </c>
      <c r="V2" s="74">
        <v>0</v>
      </c>
      <c r="W2" s="74">
        <v>0</v>
      </c>
      <c r="X2" s="74">
        <v>0</v>
      </c>
      <c r="Y2" s="74">
        <v>25</v>
      </c>
      <c r="Z2" s="74">
        <v>0</v>
      </c>
      <c r="AA2" s="74">
        <v>0</v>
      </c>
      <c r="AB2" s="74">
        <v>1</v>
      </c>
      <c r="AC2" s="74">
        <v>0</v>
      </c>
      <c r="AD2" s="74">
        <v>0</v>
      </c>
      <c r="AE2" s="74">
        <v>0</v>
      </c>
      <c r="AF2" s="74">
        <v>0</v>
      </c>
      <c r="AG2" s="75">
        <f>SUM(Table2[[#This Row],[Polylobate epidermal short cell var A GRS25]:[Polylobate epidermal short cell var E GRS29]])</f>
        <v>1</v>
      </c>
      <c r="AH2" s="74">
        <v>0</v>
      </c>
      <c r="AI2" s="74">
        <v>2</v>
      </c>
      <c r="AJ2" s="74">
        <v>0</v>
      </c>
      <c r="AK2" s="74">
        <v>0</v>
      </c>
      <c r="AL2" s="74">
        <v>0</v>
      </c>
      <c r="AM2" s="74">
        <v>9</v>
      </c>
      <c r="AN2" s="74">
        <v>0</v>
      </c>
      <c r="AO2" s="74">
        <v>0</v>
      </c>
      <c r="AP2" s="75">
        <f>SUM(Table2[[#This Row],[Rondel short flat top GRS32]:[Rondel tall pyramidal ovate top GRS37]])</f>
        <v>9</v>
      </c>
      <c r="AQ2" s="74">
        <v>0</v>
      </c>
      <c r="AR2" s="74">
        <v>28</v>
      </c>
      <c r="AS2" s="74">
        <f>SUM(Table2[[#This Row],[Saddle epidermal short cell GRS38]:[Saddle short epidermal short cell GRS39]])</f>
        <v>28</v>
      </c>
      <c r="AT2" s="74">
        <v>1</v>
      </c>
      <c r="AU2" s="74">
        <v>2</v>
      </c>
      <c r="AV2" s="74">
        <v>0</v>
      </c>
      <c r="AW2" s="74">
        <v>0</v>
      </c>
      <c r="AX2" s="74">
        <v>0</v>
      </c>
      <c r="AY2" s="74">
        <v>1</v>
      </c>
      <c r="AZ2" s="74">
        <v>0</v>
      </c>
      <c r="BA2" s="74">
        <v>0</v>
      </c>
      <c r="BB2" s="74">
        <v>0</v>
      </c>
      <c r="BC2" s="74">
        <v>2</v>
      </c>
      <c r="BD2" s="74">
        <v>0</v>
      </c>
      <c r="BE2" s="74">
        <v>0</v>
      </c>
      <c r="BF2" s="74">
        <v>0</v>
      </c>
      <c r="BG2" s="74">
        <v>0</v>
      </c>
      <c r="BH2" s="74">
        <v>0</v>
      </c>
      <c r="BI2" s="74">
        <v>0</v>
      </c>
      <c r="BJ2" s="74">
        <v>0</v>
      </c>
      <c r="BK2" s="74">
        <v>0</v>
      </c>
      <c r="BL2" s="74">
        <v>0</v>
      </c>
      <c r="BM2" s="74">
        <v>0</v>
      </c>
      <c r="BN2" s="74">
        <v>0</v>
      </c>
      <c r="BO2" s="74">
        <v>0</v>
      </c>
      <c r="BP2" s="74">
        <v>0</v>
      </c>
      <c r="BQ2" s="74">
        <v>0</v>
      </c>
      <c r="BR2" s="74">
        <v>0</v>
      </c>
      <c r="BS2" s="74">
        <v>0</v>
      </c>
      <c r="BT2" s="76">
        <v>0</v>
      </c>
      <c r="BU2" s="77">
        <v>0</v>
      </c>
      <c r="BV2" s="32">
        <f t="shared" ref="BV2:BV15" si="0">SUM(C2:BU2)</f>
        <v>331</v>
      </c>
      <c r="BW2" s="32">
        <f>SUM(C2:M2,O2:AF2,AH2:AO2,AQ2:AV2,BU2)</f>
        <v>233</v>
      </c>
      <c r="BX2" s="32">
        <f>SUM(AW2:BL2,BN2:BT2)</f>
        <v>3</v>
      </c>
      <c r="BY2" s="32" t="str">
        <f>(BW2/BX2)&amp;":"&amp;(BX2/BX2)</f>
        <v>77.6666666666667:1</v>
      </c>
      <c r="BZ2" s="78">
        <v>2</v>
      </c>
      <c r="CA2" s="72">
        <f>SUM(C2,N2,O2,AG2,AI2,AS2,AP2)</f>
        <v>134</v>
      </c>
      <c r="CB2" s="79">
        <f>GCD(BZ2,CA2)</f>
        <v>2</v>
      </c>
      <c r="CC2" t="str">
        <f>BZ2/GCD(BZ2,CA2)&amp;":"&amp;CA2/GCD(CA2,CA2)</f>
        <v>1:1</v>
      </c>
      <c r="CD2" s="80">
        <f>BZ2/CA2</f>
        <v>1.4925373134328358E-2</v>
      </c>
      <c r="CE2" s="80">
        <f>BZ2/$BV$2</f>
        <v>6.0422960725075529E-3</v>
      </c>
      <c r="CF2" s="80">
        <f>CA2/$BV$2</f>
        <v>0.40483383685800606</v>
      </c>
      <c r="CH2">
        <f>SUM(Table2[[#This Row],[Elongate cylindrical pscilate long cell GRS13]:[Elongate echinate long cell GRS14]])</f>
        <v>43</v>
      </c>
    </row>
    <row r="3" spans="1:86" x14ac:dyDescent="0.2">
      <c r="A3" t="s">
        <v>569</v>
      </c>
      <c r="B3" s="74">
        <v>5</v>
      </c>
      <c r="C3" s="74">
        <v>14</v>
      </c>
      <c r="D3" s="74">
        <v>0</v>
      </c>
      <c r="E3" s="74">
        <v>5</v>
      </c>
      <c r="F3" s="74">
        <v>1</v>
      </c>
      <c r="G3" s="74">
        <v>2</v>
      </c>
      <c r="H3" s="74">
        <v>0</v>
      </c>
      <c r="I3" s="74">
        <v>1</v>
      </c>
      <c r="J3" s="74">
        <v>0</v>
      </c>
      <c r="K3" s="74">
        <v>2</v>
      </c>
      <c r="L3" s="74">
        <v>0</v>
      </c>
      <c r="M3" s="74">
        <v>0</v>
      </c>
      <c r="N3" s="75">
        <f>SUM(Table2[[#This Row],[Bilobate concave outer margin long shaft var A GRS2]:[Bilobate concave outer margin long shaft var H GRS11]])</f>
        <v>11</v>
      </c>
      <c r="O3" s="74">
        <v>6</v>
      </c>
      <c r="P3" s="74">
        <v>38</v>
      </c>
      <c r="Q3" s="74">
        <v>15</v>
      </c>
      <c r="R3" s="74">
        <v>0</v>
      </c>
      <c r="S3" s="74">
        <v>0</v>
      </c>
      <c r="T3" s="74">
        <v>0</v>
      </c>
      <c r="U3" s="74">
        <v>0</v>
      </c>
      <c r="V3" s="74">
        <v>0</v>
      </c>
      <c r="W3" s="74">
        <v>0</v>
      </c>
      <c r="X3" s="74">
        <v>0</v>
      </c>
      <c r="Y3" s="74">
        <v>46</v>
      </c>
      <c r="Z3" s="74">
        <v>0</v>
      </c>
      <c r="AA3" s="74">
        <v>0</v>
      </c>
      <c r="AB3" s="74">
        <v>0</v>
      </c>
      <c r="AC3" s="74">
        <v>0</v>
      </c>
      <c r="AD3" s="74">
        <v>0</v>
      </c>
      <c r="AE3" s="74">
        <v>0</v>
      </c>
      <c r="AF3" s="74">
        <v>0</v>
      </c>
      <c r="AG3" s="75">
        <f>SUM(Table2[[#This Row],[Polylobate epidermal short cell var A GRS25]:[Polylobate epidermal short cell var E GRS29]])</f>
        <v>0</v>
      </c>
      <c r="AH3" s="74">
        <v>0</v>
      </c>
      <c r="AI3" s="74">
        <v>0</v>
      </c>
      <c r="AJ3" s="74">
        <v>1</v>
      </c>
      <c r="AK3" s="74">
        <v>0</v>
      </c>
      <c r="AL3" s="74">
        <v>0</v>
      </c>
      <c r="AM3" s="74">
        <v>1</v>
      </c>
      <c r="AN3" s="74">
        <v>0</v>
      </c>
      <c r="AO3" s="74">
        <v>0</v>
      </c>
      <c r="AP3" s="75">
        <f>SUM(Table2[[#This Row],[Rondel short flat top GRS32]:[Rondel tall pyramidal ovate top GRS37]])</f>
        <v>2</v>
      </c>
      <c r="AQ3" s="74">
        <v>7</v>
      </c>
      <c r="AR3" s="74">
        <v>0</v>
      </c>
      <c r="AS3" s="74">
        <f>SUM(Table2[[#This Row],[Saddle epidermal short cell GRS38]:[Saddle short epidermal short cell GRS39]])</f>
        <v>7</v>
      </c>
      <c r="AT3" s="74">
        <v>0</v>
      </c>
      <c r="AU3" s="74">
        <v>3</v>
      </c>
      <c r="AV3" s="74">
        <v>0</v>
      </c>
      <c r="AW3" s="74">
        <v>0</v>
      </c>
      <c r="AX3" s="74">
        <v>0</v>
      </c>
      <c r="AY3" s="74">
        <v>0</v>
      </c>
      <c r="AZ3" s="74">
        <v>0</v>
      </c>
      <c r="BA3" s="74">
        <v>0</v>
      </c>
      <c r="BB3" s="74">
        <v>0</v>
      </c>
      <c r="BC3" s="74">
        <v>11</v>
      </c>
      <c r="BD3" s="74">
        <v>0</v>
      </c>
      <c r="BE3" s="74">
        <v>0</v>
      </c>
      <c r="BF3" s="74">
        <v>0</v>
      </c>
      <c r="BG3" s="74">
        <v>0</v>
      </c>
      <c r="BH3" s="74">
        <v>2</v>
      </c>
      <c r="BI3" s="74">
        <v>0</v>
      </c>
      <c r="BJ3" s="74">
        <v>0</v>
      </c>
      <c r="BK3" s="74">
        <v>0</v>
      </c>
      <c r="BL3" s="74">
        <v>0</v>
      </c>
      <c r="BM3" s="74">
        <v>0</v>
      </c>
      <c r="BN3" s="74">
        <v>0</v>
      </c>
      <c r="BO3" s="74">
        <v>0</v>
      </c>
      <c r="BP3" s="74">
        <v>0</v>
      </c>
      <c r="BQ3" s="74">
        <v>0</v>
      </c>
      <c r="BR3" s="74">
        <v>0</v>
      </c>
      <c r="BS3" s="74">
        <v>0</v>
      </c>
      <c r="BT3" s="76">
        <v>1</v>
      </c>
      <c r="BU3" s="77">
        <v>2</v>
      </c>
      <c r="BV3" s="32">
        <f t="shared" si="0"/>
        <v>178</v>
      </c>
      <c r="BW3" s="32">
        <f t="shared" ref="BW3:BW15" si="1">SUM(C3:M3,O3:AF3,AH3:AO3,AQ3:AV3,BU3)</f>
        <v>151</v>
      </c>
      <c r="BX3" s="32">
        <f t="shared" ref="BX3:BX15" si="2">SUM(AW3:BL3,BN3:BT3)</f>
        <v>14</v>
      </c>
      <c r="BY3" s="32" t="str">
        <f t="shared" ref="BY3:BY14" si="3">(BW3/BX3)&amp;":"&amp;(BX3/BX3)</f>
        <v>10.7857142857143:1</v>
      </c>
      <c r="BZ3" s="81">
        <v>11</v>
      </c>
      <c r="CA3" s="72">
        <f t="shared" ref="CA3:CA12" si="4">SUM(C3,N3,O3,AG3,AI3,AS3,AP3)</f>
        <v>40</v>
      </c>
      <c r="CB3" s="79">
        <f t="shared" ref="CB3:CB14" si="5">GCD(BZ3,CA3)</f>
        <v>1</v>
      </c>
      <c r="CC3" t="str">
        <f t="shared" ref="CC3:CC14" si="6">BZ3/GCD(BZ3,CA3)&amp;":"&amp;CA3/GCD(CA3,CA3)</f>
        <v>11:1</v>
      </c>
      <c r="CD3" s="80">
        <f t="shared" ref="CD3:CD14" si="7">BZ3/CA3</f>
        <v>0.27500000000000002</v>
      </c>
      <c r="CE3" s="80">
        <f>BZ3/$BV$3</f>
        <v>6.1797752808988762E-2</v>
      </c>
      <c r="CF3" s="80">
        <f>CA3/$BV$3</f>
        <v>0.2247191011235955</v>
      </c>
      <c r="CH3">
        <f>SUM(Table2[[#This Row],[Elongate cylindrical pscilate long cell GRS13]:[Elongate echinate long cell GRS14]])</f>
        <v>53</v>
      </c>
    </row>
    <row r="4" spans="1:86" x14ac:dyDescent="0.2">
      <c r="A4" t="s">
        <v>570</v>
      </c>
      <c r="B4" s="74">
        <v>10</v>
      </c>
      <c r="C4" s="74">
        <v>20</v>
      </c>
      <c r="D4" s="74">
        <v>0</v>
      </c>
      <c r="E4" s="74">
        <v>1</v>
      </c>
      <c r="F4" s="74">
        <v>9</v>
      </c>
      <c r="G4" s="74">
        <v>0</v>
      </c>
      <c r="H4" s="74">
        <v>0</v>
      </c>
      <c r="I4" s="74">
        <v>0</v>
      </c>
      <c r="J4" s="74">
        <v>0</v>
      </c>
      <c r="K4" s="74">
        <v>0</v>
      </c>
      <c r="L4" s="74">
        <v>0</v>
      </c>
      <c r="M4" s="74">
        <v>0</v>
      </c>
      <c r="N4" s="75">
        <f>SUM(Table2[[#This Row],[Bilobate concave outer margin long shaft var A GRS2]:[Bilobate concave outer margin long shaft var H GRS11]])</f>
        <v>10</v>
      </c>
      <c r="O4" s="74">
        <v>5</v>
      </c>
      <c r="P4" s="74">
        <v>50</v>
      </c>
      <c r="Q4" s="74">
        <v>25</v>
      </c>
      <c r="R4" s="74">
        <v>0</v>
      </c>
      <c r="S4" s="74">
        <v>0</v>
      </c>
      <c r="T4" s="74">
        <v>0</v>
      </c>
      <c r="U4" s="74">
        <v>0</v>
      </c>
      <c r="V4" s="74">
        <v>0</v>
      </c>
      <c r="W4" s="74">
        <v>0</v>
      </c>
      <c r="X4" s="74">
        <v>0</v>
      </c>
      <c r="Y4" s="74">
        <v>32</v>
      </c>
      <c r="Z4" s="74">
        <v>0</v>
      </c>
      <c r="AA4" s="74">
        <v>0</v>
      </c>
      <c r="AB4" s="74">
        <v>0</v>
      </c>
      <c r="AC4" s="74">
        <v>0</v>
      </c>
      <c r="AD4" s="74">
        <v>0</v>
      </c>
      <c r="AE4" s="74">
        <v>0</v>
      </c>
      <c r="AF4" s="74">
        <v>0</v>
      </c>
      <c r="AG4" s="75">
        <f>SUM(Table2[[#This Row],[Polylobate epidermal short cell var A GRS25]:[Polylobate epidermal short cell var E GRS29]])</f>
        <v>0</v>
      </c>
      <c r="AH4" s="74">
        <v>0</v>
      </c>
      <c r="AI4" s="74">
        <v>1</v>
      </c>
      <c r="AJ4" s="74">
        <v>1</v>
      </c>
      <c r="AK4" s="74">
        <v>0</v>
      </c>
      <c r="AL4" s="74">
        <v>0</v>
      </c>
      <c r="AM4" s="74">
        <v>1</v>
      </c>
      <c r="AN4" s="74">
        <v>2</v>
      </c>
      <c r="AO4" s="74">
        <v>0</v>
      </c>
      <c r="AP4" s="75">
        <f>SUM(Table2[[#This Row],[Rondel short flat top GRS32]:[Rondel tall pyramidal ovate top GRS37]])</f>
        <v>4</v>
      </c>
      <c r="AQ4" s="74">
        <v>35</v>
      </c>
      <c r="AR4" s="74">
        <v>3</v>
      </c>
      <c r="AS4" s="74">
        <f>SUM(Table2[[#This Row],[Saddle epidermal short cell GRS38]:[Saddle short epidermal short cell GRS39]])</f>
        <v>38</v>
      </c>
      <c r="AT4" s="74">
        <v>0</v>
      </c>
      <c r="AU4" s="74">
        <v>11</v>
      </c>
      <c r="AV4" s="74">
        <v>0</v>
      </c>
      <c r="AW4" s="74">
        <v>0</v>
      </c>
      <c r="AX4" s="74">
        <v>0</v>
      </c>
      <c r="AY4" s="74">
        <v>0</v>
      </c>
      <c r="AZ4" s="74">
        <v>0</v>
      </c>
      <c r="BA4" s="74">
        <v>0</v>
      </c>
      <c r="BB4" s="74">
        <v>0</v>
      </c>
      <c r="BC4" s="74">
        <v>1</v>
      </c>
      <c r="BD4" s="74">
        <v>0</v>
      </c>
      <c r="BE4" s="74">
        <v>0</v>
      </c>
      <c r="BF4" s="74">
        <v>0</v>
      </c>
      <c r="BG4" s="74">
        <v>0</v>
      </c>
      <c r="BH4" s="74">
        <v>0</v>
      </c>
      <c r="BI4" s="74">
        <v>0</v>
      </c>
      <c r="BJ4" s="74">
        <v>0</v>
      </c>
      <c r="BK4" s="74">
        <v>0</v>
      </c>
      <c r="BL4" s="74">
        <v>0</v>
      </c>
      <c r="BM4" s="74">
        <v>26</v>
      </c>
      <c r="BN4" s="74">
        <v>0</v>
      </c>
      <c r="BO4" s="74">
        <v>1</v>
      </c>
      <c r="BP4" s="74">
        <v>0</v>
      </c>
      <c r="BQ4" s="74">
        <v>0</v>
      </c>
      <c r="BR4" s="74">
        <v>0</v>
      </c>
      <c r="BS4" s="74">
        <v>0</v>
      </c>
      <c r="BT4" s="76">
        <v>0</v>
      </c>
      <c r="BU4" s="77">
        <v>2</v>
      </c>
      <c r="BV4" s="32">
        <f t="shared" si="0"/>
        <v>278</v>
      </c>
      <c r="BW4" s="32">
        <f t="shared" si="1"/>
        <v>236</v>
      </c>
      <c r="BX4" s="32">
        <f t="shared" si="2"/>
        <v>2</v>
      </c>
      <c r="BY4" s="32" t="str">
        <f t="shared" si="3"/>
        <v>118:1</v>
      </c>
      <c r="BZ4" s="78">
        <v>1</v>
      </c>
      <c r="CA4" s="72">
        <f t="shared" si="4"/>
        <v>78</v>
      </c>
      <c r="CB4" s="79">
        <f t="shared" si="5"/>
        <v>1</v>
      </c>
      <c r="CC4" t="str">
        <f t="shared" si="6"/>
        <v>1:1</v>
      </c>
      <c r="CD4" s="80">
        <f t="shared" si="7"/>
        <v>1.282051282051282E-2</v>
      </c>
      <c r="CE4" s="80">
        <f>BZ4/$BV$4</f>
        <v>3.5971223021582736E-3</v>
      </c>
      <c r="CF4" s="80">
        <f>CA4/$BV$4</f>
        <v>0.2805755395683453</v>
      </c>
      <c r="CH4">
        <f>SUM(Table2[[#This Row],[Elongate cylindrical pscilate long cell GRS13]:[Elongate echinate long cell GRS14]])</f>
        <v>75</v>
      </c>
    </row>
    <row r="5" spans="1:86" x14ac:dyDescent="0.2">
      <c r="A5" t="s">
        <v>571</v>
      </c>
      <c r="B5" s="74">
        <v>15</v>
      </c>
      <c r="C5" s="74">
        <v>23</v>
      </c>
      <c r="D5" s="74">
        <v>2</v>
      </c>
      <c r="E5" s="74">
        <v>0</v>
      </c>
      <c r="F5" s="74">
        <v>29</v>
      </c>
      <c r="G5" s="74">
        <v>1</v>
      </c>
      <c r="H5" s="74">
        <v>0</v>
      </c>
      <c r="I5" s="74">
        <v>0</v>
      </c>
      <c r="J5" s="74">
        <v>9</v>
      </c>
      <c r="K5" s="74">
        <v>0</v>
      </c>
      <c r="L5" s="74">
        <v>0</v>
      </c>
      <c r="M5" s="74">
        <v>0</v>
      </c>
      <c r="N5" s="75">
        <f>SUM(Table2[[#This Row],[Bilobate concave outer margin long shaft var A GRS2]:[Bilobate concave outer margin long shaft var H GRS11]])</f>
        <v>41</v>
      </c>
      <c r="O5" s="74">
        <v>6</v>
      </c>
      <c r="P5" s="74">
        <v>42</v>
      </c>
      <c r="Q5" s="74">
        <v>8</v>
      </c>
      <c r="R5" s="74">
        <v>0</v>
      </c>
      <c r="S5" s="74">
        <v>0</v>
      </c>
      <c r="T5" s="74">
        <v>0</v>
      </c>
      <c r="U5" s="74">
        <v>0</v>
      </c>
      <c r="V5" s="74">
        <v>0</v>
      </c>
      <c r="W5" s="74">
        <v>0</v>
      </c>
      <c r="X5" s="74">
        <v>0</v>
      </c>
      <c r="Y5" s="74">
        <v>48</v>
      </c>
      <c r="Z5" s="74">
        <v>0</v>
      </c>
      <c r="AA5" s="74">
        <v>0</v>
      </c>
      <c r="AB5" s="74">
        <v>0</v>
      </c>
      <c r="AC5" s="74">
        <v>0</v>
      </c>
      <c r="AD5" s="74">
        <v>0</v>
      </c>
      <c r="AE5" s="74">
        <v>0</v>
      </c>
      <c r="AF5" s="74">
        <v>0</v>
      </c>
      <c r="AG5" s="75">
        <f>SUM(Table2[[#This Row],[Polylobate epidermal short cell var A GRS25]:[Polylobate epidermal short cell var E GRS29]])</f>
        <v>0</v>
      </c>
      <c r="AH5" s="74">
        <v>0</v>
      </c>
      <c r="AI5" s="74">
        <v>6</v>
      </c>
      <c r="AJ5" s="74">
        <v>4</v>
      </c>
      <c r="AK5" s="74">
        <v>0</v>
      </c>
      <c r="AL5" s="74">
        <v>0</v>
      </c>
      <c r="AM5" s="74">
        <v>0</v>
      </c>
      <c r="AN5" s="74">
        <v>0</v>
      </c>
      <c r="AO5" s="74">
        <v>0</v>
      </c>
      <c r="AP5" s="75">
        <f>SUM(Table2[[#This Row],[Rondel short flat top GRS32]:[Rondel tall pyramidal ovate top GRS37]])</f>
        <v>4</v>
      </c>
      <c r="AQ5" s="74">
        <v>28</v>
      </c>
      <c r="AR5" s="74">
        <v>4</v>
      </c>
      <c r="AS5" s="74">
        <f>SUM(Table2[[#This Row],[Saddle epidermal short cell GRS38]:[Saddle short epidermal short cell GRS39]])</f>
        <v>32</v>
      </c>
      <c r="AT5" s="74">
        <v>0</v>
      </c>
      <c r="AU5" s="74">
        <v>0</v>
      </c>
      <c r="AV5" s="74">
        <v>0</v>
      </c>
      <c r="AW5" s="74">
        <v>0</v>
      </c>
      <c r="AX5" s="74">
        <v>0</v>
      </c>
      <c r="AY5" s="74">
        <v>0</v>
      </c>
      <c r="AZ5" s="74">
        <v>0</v>
      </c>
      <c r="BA5" s="74">
        <v>0</v>
      </c>
      <c r="BB5" s="74">
        <v>0</v>
      </c>
      <c r="BC5" s="74">
        <v>9</v>
      </c>
      <c r="BD5" s="74">
        <v>0</v>
      </c>
      <c r="BE5" s="74">
        <v>0</v>
      </c>
      <c r="BF5" s="74">
        <v>0</v>
      </c>
      <c r="BG5" s="74">
        <v>0</v>
      </c>
      <c r="BH5" s="74">
        <v>0</v>
      </c>
      <c r="BI5" s="74">
        <v>0</v>
      </c>
      <c r="BJ5" s="74">
        <v>0</v>
      </c>
      <c r="BK5" s="74">
        <v>0</v>
      </c>
      <c r="BL5" s="74">
        <v>0</v>
      </c>
      <c r="BM5" s="74">
        <v>31</v>
      </c>
      <c r="BN5" s="74">
        <v>0</v>
      </c>
      <c r="BO5" s="74">
        <v>0</v>
      </c>
      <c r="BP5" s="74">
        <v>0</v>
      </c>
      <c r="BQ5" s="74">
        <v>1</v>
      </c>
      <c r="BR5" s="74">
        <v>0</v>
      </c>
      <c r="BS5" s="74">
        <v>2</v>
      </c>
      <c r="BT5" s="76">
        <v>0</v>
      </c>
      <c r="BU5" s="77">
        <v>3</v>
      </c>
      <c r="BV5" s="32">
        <f t="shared" si="0"/>
        <v>333</v>
      </c>
      <c r="BW5" s="32">
        <f t="shared" si="1"/>
        <v>245</v>
      </c>
      <c r="BX5" s="32">
        <f t="shared" si="2"/>
        <v>12</v>
      </c>
      <c r="BY5" s="32" t="str">
        <f t="shared" si="3"/>
        <v>20.4166666666667:1</v>
      </c>
      <c r="BZ5" s="81">
        <v>9</v>
      </c>
      <c r="CA5" s="72">
        <f t="shared" si="4"/>
        <v>112</v>
      </c>
      <c r="CB5" s="79">
        <f t="shared" si="5"/>
        <v>1</v>
      </c>
      <c r="CC5" t="str">
        <f t="shared" si="6"/>
        <v>9:1</v>
      </c>
      <c r="CD5" s="80">
        <f t="shared" si="7"/>
        <v>8.0357142857142863E-2</v>
      </c>
      <c r="CE5" s="80">
        <f>BZ5/$BV$5</f>
        <v>2.7027027027027029E-2</v>
      </c>
      <c r="CF5" s="80">
        <f>CA5/$BV$5</f>
        <v>0.33633633633633636</v>
      </c>
      <c r="CH5">
        <f>SUM(Table2[[#This Row],[Elongate cylindrical pscilate long cell GRS13]:[Elongate echinate long cell GRS14]])</f>
        <v>50</v>
      </c>
    </row>
    <row r="6" spans="1:86" x14ac:dyDescent="0.2">
      <c r="A6" t="s">
        <v>572</v>
      </c>
      <c r="B6" s="74">
        <v>20</v>
      </c>
      <c r="C6" s="74">
        <v>21</v>
      </c>
      <c r="D6" s="74">
        <v>0</v>
      </c>
      <c r="E6" s="74">
        <v>0</v>
      </c>
      <c r="F6" s="74">
        <v>19</v>
      </c>
      <c r="G6" s="74">
        <v>1</v>
      </c>
      <c r="H6" s="74">
        <v>0</v>
      </c>
      <c r="I6" s="74">
        <v>0</v>
      </c>
      <c r="J6" s="74">
        <v>6</v>
      </c>
      <c r="K6" s="74">
        <v>0</v>
      </c>
      <c r="L6" s="74">
        <v>0</v>
      </c>
      <c r="M6" s="74">
        <v>0</v>
      </c>
      <c r="N6" s="75">
        <f>SUM(Table2[[#This Row],[Bilobate concave outer margin long shaft var A GRS2]:[Bilobate concave outer margin long shaft var H GRS11]])</f>
        <v>26</v>
      </c>
      <c r="O6" s="74">
        <v>8</v>
      </c>
      <c r="P6" s="74">
        <v>30</v>
      </c>
      <c r="Q6" s="74">
        <v>14</v>
      </c>
      <c r="R6" s="74">
        <v>0</v>
      </c>
      <c r="S6" s="74">
        <v>0</v>
      </c>
      <c r="T6" s="74">
        <v>0</v>
      </c>
      <c r="U6" s="74">
        <v>0</v>
      </c>
      <c r="V6" s="74">
        <v>0</v>
      </c>
      <c r="W6" s="74">
        <v>0</v>
      </c>
      <c r="X6" s="74">
        <v>0</v>
      </c>
      <c r="Y6" s="74">
        <v>42</v>
      </c>
      <c r="Z6" s="74">
        <v>0</v>
      </c>
      <c r="AA6" s="74">
        <v>0</v>
      </c>
      <c r="AB6" s="74">
        <v>1</v>
      </c>
      <c r="AC6" s="74">
        <v>0</v>
      </c>
      <c r="AD6" s="74">
        <v>0</v>
      </c>
      <c r="AE6" s="74">
        <v>0</v>
      </c>
      <c r="AF6" s="74">
        <v>0</v>
      </c>
      <c r="AG6" s="75">
        <f>SUM(Table2[[#This Row],[Polylobate epidermal short cell var A GRS25]:[Polylobate epidermal short cell var E GRS29]])</f>
        <v>1</v>
      </c>
      <c r="AH6" s="74">
        <v>0</v>
      </c>
      <c r="AI6" s="74">
        <v>2</v>
      </c>
      <c r="AJ6" s="74">
        <v>4</v>
      </c>
      <c r="AK6" s="74">
        <v>1</v>
      </c>
      <c r="AL6" s="74">
        <v>0</v>
      </c>
      <c r="AM6" s="74">
        <v>0</v>
      </c>
      <c r="AN6" s="74">
        <v>0</v>
      </c>
      <c r="AO6" s="74">
        <v>1</v>
      </c>
      <c r="AP6" s="75">
        <f>SUM(Table2[[#This Row],[Rondel short flat top GRS32]:[Rondel tall pyramidal ovate top GRS37]])</f>
        <v>6</v>
      </c>
      <c r="AQ6" s="74">
        <v>27</v>
      </c>
      <c r="AR6" s="74">
        <v>0</v>
      </c>
      <c r="AS6" s="74">
        <f>SUM(Table2[[#This Row],[Saddle epidermal short cell GRS38]:[Saddle short epidermal short cell GRS39]])</f>
        <v>27</v>
      </c>
      <c r="AT6" s="74">
        <v>0</v>
      </c>
      <c r="AU6" s="74">
        <v>0</v>
      </c>
      <c r="AV6" s="74">
        <v>7</v>
      </c>
      <c r="AW6" s="74">
        <v>0</v>
      </c>
      <c r="AX6" s="74">
        <v>0</v>
      </c>
      <c r="AY6" s="74">
        <v>0</v>
      </c>
      <c r="AZ6" s="74">
        <v>0</v>
      </c>
      <c r="BA6" s="74">
        <v>0</v>
      </c>
      <c r="BB6" s="74">
        <v>0</v>
      </c>
      <c r="BC6" s="74">
        <v>8</v>
      </c>
      <c r="BD6" s="74">
        <v>0</v>
      </c>
      <c r="BE6" s="74">
        <v>0</v>
      </c>
      <c r="BF6" s="74">
        <v>0</v>
      </c>
      <c r="BG6" s="74">
        <v>0</v>
      </c>
      <c r="BH6" s="74">
        <v>0</v>
      </c>
      <c r="BI6" s="74">
        <v>0</v>
      </c>
      <c r="BJ6" s="74">
        <v>0</v>
      </c>
      <c r="BK6" s="74">
        <v>0</v>
      </c>
      <c r="BL6" s="74">
        <v>0</v>
      </c>
      <c r="BM6" s="74">
        <v>18</v>
      </c>
      <c r="BN6" s="74">
        <v>0</v>
      </c>
      <c r="BO6" s="74">
        <v>0</v>
      </c>
      <c r="BP6" s="74">
        <v>0</v>
      </c>
      <c r="BQ6" s="74">
        <v>0</v>
      </c>
      <c r="BR6" s="74">
        <v>0</v>
      </c>
      <c r="BS6" s="74">
        <v>0</v>
      </c>
      <c r="BT6" s="76">
        <v>0</v>
      </c>
      <c r="BU6" s="77">
        <v>1</v>
      </c>
      <c r="BV6" s="32">
        <f t="shared" si="0"/>
        <v>271</v>
      </c>
      <c r="BW6" s="32">
        <f t="shared" si="1"/>
        <v>212</v>
      </c>
      <c r="BX6" s="32">
        <f t="shared" si="2"/>
        <v>8</v>
      </c>
      <c r="BY6" s="32" t="str">
        <f t="shared" si="3"/>
        <v>26.5:1</v>
      </c>
      <c r="BZ6" s="78">
        <v>8</v>
      </c>
      <c r="CA6" s="72">
        <f t="shared" si="4"/>
        <v>91</v>
      </c>
      <c r="CB6" s="79">
        <f t="shared" si="5"/>
        <v>1</v>
      </c>
      <c r="CC6" t="str">
        <f t="shared" si="6"/>
        <v>8:1</v>
      </c>
      <c r="CD6" s="80">
        <f t="shared" si="7"/>
        <v>8.7912087912087919E-2</v>
      </c>
      <c r="CE6" s="80">
        <f>BZ6/$BV$6</f>
        <v>2.9520295202952029E-2</v>
      </c>
      <c r="CF6" s="80">
        <f>CA6/$BV$6</f>
        <v>0.33579335793357934</v>
      </c>
      <c r="CH6">
        <f>SUM(Table2[[#This Row],[Elongate cylindrical pscilate long cell GRS13]:[Elongate echinate long cell GRS14]])</f>
        <v>44</v>
      </c>
    </row>
    <row r="7" spans="1:86" x14ac:dyDescent="0.2">
      <c r="A7" t="s">
        <v>573</v>
      </c>
      <c r="B7" s="74">
        <v>25</v>
      </c>
      <c r="C7" s="74">
        <v>20</v>
      </c>
      <c r="D7" s="74">
        <v>0</v>
      </c>
      <c r="E7" s="74">
        <v>2</v>
      </c>
      <c r="F7" s="74">
        <v>17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5">
        <f>SUM(Table2[[#This Row],[Bilobate concave outer margin long shaft var A GRS2]:[Bilobate concave outer margin long shaft var H GRS11]])</f>
        <v>19</v>
      </c>
      <c r="O7" s="74">
        <v>5</v>
      </c>
      <c r="P7" s="74">
        <v>17</v>
      </c>
      <c r="Q7" s="74">
        <v>5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22</v>
      </c>
      <c r="Z7" s="74">
        <v>0</v>
      </c>
      <c r="AA7" s="74">
        <v>0</v>
      </c>
      <c r="AB7" s="74">
        <v>0</v>
      </c>
      <c r="AC7" s="74">
        <v>0</v>
      </c>
      <c r="AD7" s="74">
        <v>0</v>
      </c>
      <c r="AE7" s="74">
        <v>0</v>
      </c>
      <c r="AF7" s="74">
        <v>0</v>
      </c>
      <c r="AG7" s="75">
        <f>SUM(Table2[[#This Row],[Polylobate epidermal short cell var A GRS25]:[Polylobate epidermal short cell var E GRS29]])</f>
        <v>0</v>
      </c>
      <c r="AH7" s="74">
        <v>0</v>
      </c>
      <c r="AI7" s="74">
        <v>3</v>
      </c>
      <c r="AJ7" s="74">
        <v>5</v>
      </c>
      <c r="AK7" s="74">
        <v>0</v>
      </c>
      <c r="AL7" s="74">
        <v>0</v>
      </c>
      <c r="AM7" s="74">
        <v>0</v>
      </c>
      <c r="AN7" s="74">
        <v>0</v>
      </c>
      <c r="AO7" s="74">
        <v>0</v>
      </c>
      <c r="AP7" s="75">
        <f>SUM(Table2[[#This Row],[Rondel short flat top GRS32]:[Rondel tall pyramidal ovate top GRS37]])</f>
        <v>5</v>
      </c>
      <c r="AQ7" s="74">
        <v>24</v>
      </c>
      <c r="AR7" s="74">
        <v>0</v>
      </c>
      <c r="AS7" s="74">
        <f>SUM(Table2[[#This Row],[Saddle epidermal short cell GRS38]:[Saddle short epidermal short cell GRS39]])</f>
        <v>24</v>
      </c>
      <c r="AT7" s="74">
        <v>0</v>
      </c>
      <c r="AU7" s="74">
        <v>0</v>
      </c>
      <c r="AV7" s="74">
        <v>0</v>
      </c>
      <c r="AW7" s="74">
        <v>0</v>
      </c>
      <c r="AX7" s="74">
        <v>0</v>
      </c>
      <c r="AY7" s="74">
        <v>0</v>
      </c>
      <c r="AZ7" s="74">
        <v>0</v>
      </c>
      <c r="BA7" s="74">
        <v>0</v>
      </c>
      <c r="BB7" s="74">
        <v>0</v>
      </c>
      <c r="BC7" s="74">
        <v>12</v>
      </c>
      <c r="BD7" s="74">
        <v>0</v>
      </c>
      <c r="BE7" s="74">
        <v>0</v>
      </c>
      <c r="BF7" s="74">
        <v>0</v>
      </c>
      <c r="BG7" s="74">
        <v>0</v>
      </c>
      <c r="BH7" s="74">
        <v>0</v>
      </c>
      <c r="BI7" s="74">
        <v>0</v>
      </c>
      <c r="BJ7" s="74">
        <v>0</v>
      </c>
      <c r="BK7" s="74">
        <v>0</v>
      </c>
      <c r="BL7" s="74">
        <v>0</v>
      </c>
      <c r="BM7" s="74">
        <v>19</v>
      </c>
      <c r="BN7" s="74">
        <v>0</v>
      </c>
      <c r="BO7" s="74">
        <v>0</v>
      </c>
      <c r="BP7" s="74">
        <v>0</v>
      </c>
      <c r="BQ7" s="74">
        <v>0</v>
      </c>
      <c r="BR7" s="74">
        <v>0</v>
      </c>
      <c r="BS7" s="74">
        <v>0</v>
      </c>
      <c r="BT7" s="76">
        <v>0</v>
      </c>
      <c r="BU7" s="77">
        <v>0</v>
      </c>
      <c r="BV7" s="32">
        <f t="shared" si="0"/>
        <v>199</v>
      </c>
      <c r="BW7" s="32">
        <f t="shared" si="1"/>
        <v>144</v>
      </c>
      <c r="BX7" s="32">
        <f t="shared" si="2"/>
        <v>12</v>
      </c>
      <c r="BY7" s="32" t="str">
        <f t="shared" si="3"/>
        <v>12:1</v>
      </c>
      <c r="BZ7" s="81">
        <v>12</v>
      </c>
      <c r="CA7" s="72">
        <f t="shared" si="4"/>
        <v>76</v>
      </c>
      <c r="CB7" s="79">
        <f t="shared" si="5"/>
        <v>4</v>
      </c>
      <c r="CC7" t="str">
        <f t="shared" si="6"/>
        <v>3:1</v>
      </c>
      <c r="CD7" s="80">
        <f t="shared" si="7"/>
        <v>0.15789473684210525</v>
      </c>
      <c r="CE7" s="80">
        <f>BZ7/$BV$7</f>
        <v>6.030150753768844E-2</v>
      </c>
      <c r="CF7" s="80">
        <f>CA7/$BV$7</f>
        <v>0.38190954773869346</v>
      </c>
      <c r="CH7">
        <f>SUM(Table2[[#This Row],[Elongate cylindrical pscilate long cell GRS13]:[Elongate echinate long cell GRS14]])</f>
        <v>22</v>
      </c>
    </row>
    <row r="8" spans="1:86" x14ac:dyDescent="0.2">
      <c r="A8" t="s">
        <v>574</v>
      </c>
      <c r="B8" s="74">
        <v>30</v>
      </c>
      <c r="C8" s="74">
        <v>35</v>
      </c>
      <c r="D8" s="74">
        <v>0</v>
      </c>
      <c r="E8" s="74">
        <v>0</v>
      </c>
      <c r="F8" s="74">
        <v>1</v>
      </c>
      <c r="G8" s="74">
        <v>0</v>
      </c>
      <c r="H8" s="74">
        <v>0</v>
      </c>
      <c r="I8" s="74">
        <v>1</v>
      </c>
      <c r="J8" s="74">
        <v>0</v>
      </c>
      <c r="K8" s="74">
        <v>0</v>
      </c>
      <c r="L8" s="74">
        <v>0</v>
      </c>
      <c r="M8" s="74">
        <v>0</v>
      </c>
      <c r="N8" s="75">
        <f>SUM(Table2[[#This Row],[Bilobate concave outer margin long shaft var A GRS2]:[Bilobate concave outer margin long shaft var H GRS11]])</f>
        <v>2</v>
      </c>
      <c r="O8" s="74">
        <v>16</v>
      </c>
      <c r="P8" s="74">
        <v>46</v>
      </c>
      <c r="Q8" s="74">
        <v>7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112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5">
        <f>SUM(Table2[[#This Row],[Polylobate epidermal short cell var A GRS25]:[Polylobate epidermal short cell var E GRS29]])</f>
        <v>0</v>
      </c>
      <c r="AH8" s="74">
        <v>0</v>
      </c>
      <c r="AI8" s="74">
        <v>0</v>
      </c>
      <c r="AJ8" s="74">
        <v>1</v>
      </c>
      <c r="AK8" s="74">
        <v>0</v>
      </c>
      <c r="AL8" s="74">
        <v>0</v>
      </c>
      <c r="AM8" s="74">
        <v>0</v>
      </c>
      <c r="AN8" s="74">
        <v>0</v>
      </c>
      <c r="AO8" s="74">
        <v>0</v>
      </c>
      <c r="AP8" s="75">
        <f>SUM(Table2[[#This Row],[Rondel short flat top GRS32]:[Rondel tall pyramidal ovate top GRS37]])</f>
        <v>1</v>
      </c>
      <c r="AQ8" s="74">
        <v>9</v>
      </c>
      <c r="AR8" s="74">
        <v>0</v>
      </c>
      <c r="AS8" s="74">
        <f>SUM(Table2[[#This Row],[Saddle epidermal short cell GRS38]:[Saddle short epidermal short cell GRS39]])</f>
        <v>9</v>
      </c>
      <c r="AT8" s="74">
        <v>0</v>
      </c>
      <c r="AU8" s="74">
        <v>0</v>
      </c>
      <c r="AV8" s="74">
        <v>0</v>
      </c>
      <c r="AW8" s="74">
        <v>0</v>
      </c>
      <c r="AX8" s="74">
        <v>0</v>
      </c>
      <c r="AY8" s="74">
        <v>0</v>
      </c>
      <c r="AZ8" s="74">
        <v>0</v>
      </c>
      <c r="BA8" s="74">
        <v>0</v>
      </c>
      <c r="BB8" s="74">
        <v>0</v>
      </c>
      <c r="BC8" s="74">
        <v>2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0</v>
      </c>
      <c r="BJ8" s="74">
        <v>0</v>
      </c>
      <c r="BK8" s="74">
        <v>0</v>
      </c>
      <c r="BL8" s="74">
        <v>0</v>
      </c>
      <c r="BM8" s="74">
        <v>50</v>
      </c>
      <c r="BN8" s="74">
        <v>0</v>
      </c>
      <c r="BO8" s="74">
        <v>0</v>
      </c>
      <c r="BP8" s="74">
        <v>16</v>
      </c>
      <c r="BQ8" s="74">
        <v>0</v>
      </c>
      <c r="BR8" s="74">
        <v>0</v>
      </c>
      <c r="BS8" s="74">
        <v>0</v>
      </c>
      <c r="BT8" s="76">
        <v>0</v>
      </c>
      <c r="BU8" s="77">
        <v>0</v>
      </c>
      <c r="BV8" s="32">
        <f t="shared" si="0"/>
        <v>308</v>
      </c>
      <c r="BW8" s="32">
        <f t="shared" si="1"/>
        <v>237</v>
      </c>
      <c r="BX8" s="32">
        <f t="shared" si="2"/>
        <v>18</v>
      </c>
      <c r="BY8" s="32" t="str">
        <f t="shared" si="3"/>
        <v>13.1666666666667:1</v>
      </c>
      <c r="BZ8" s="78">
        <v>2</v>
      </c>
      <c r="CA8" s="72">
        <f t="shared" si="4"/>
        <v>63</v>
      </c>
      <c r="CB8" s="79">
        <f t="shared" si="5"/>
        <v>1</v>
      </c>
      <c r="CC8" t="str">
        <f t="shared" si="6"/>
        <v>2:1</v>
      </c>
      <c r="CD8" s="80">
        <f t="shared" si="7"/>
        <v>3.1746031746031744E-2</v>
      </c>
      <c r="CE8" s="80">
        <f>BZ8/$BV$8</f>
        <v>6.4935064935064939E-3</v>
      </c>
      <c r="CF8" s="80">
        <f>CA8/$BV$8</f>
        <v>0.20454545454545456</v>
      </c>
      <c r="CH8">
        <f>SUM(Table2[[#This Row],[Elongate cylindrical pscilate long cell GRS13]:[Elongate echinate long cell GRS14]])</f>
        <v>53</v>
      </c>
    </row>
    <row r="9" spans="1:86" x14ac:dyDescent="0.2">
      <c r="A9" t="s">
        <v>575</v>
      </c>
      <c r="B9" s="74">
        <v>35</v>
      </c>
      <c r="C9" s="74">
        <v>18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5">
        <f>SUM(Table2[[#This Row],[Bilobate concave outer margin long shaft var A GRS2]:[Bilobate concave outer margin long shaft var H GRS11]])</f>
        <v>0</v>
      </c>
      <c r="O9" s="74">
        <v>1</v>
      </c>
      <c r="P9" s="74">
        <v>3</v>
      </c>
      <c r="Q9" s="74">
        <v>2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23</v>
      </c>
      <c r="Z9" s="74">
        <v>0</v>
      </c>
      <c r="AA9" s="74">
        <v>0</v>
      </c>
      <c r="AB9" s="74">
        <v>0</v>
      </c>
      <c r="AC9" s="74">
        <v>0</v>
      </c>
      <c r="AD9" s="74">
        <v>0</v>
      </c>
      <c r="AE9" s="74">
        <v>0</v>
      </c>
      <c r="AF9" s="74">
        <v>0</v>
      </c>
      <c r="AG9" s="75">
        <f>SUM(Table2[[#This Row],[Polylobate epidermal short cell var A GRS25]:[Polylobate epidermal short cell var E GRS29]])</f>
        <v>0</v>
      </c>
      <c r="AH9" s="74">
        <v>0</v>
      </c>
      <c r="AI9" s="74">
        <v>0</v>
      </c>
      <c r="AJ9" s="74">
        <v>0</v>
      </c>
      <c r="AK9" s="74">
        <v>0</v>
      </c>
      <c r="AL9" s="74">
        <v>0</v>
      </c>
      <c r="AM9" s="74">
        <v>0</v>
      </c>
      <c r="AN9" s="74">
        <v>0</v>
      </c>
      <c r="AO9" s="74">
        <v>0</v>
      </c>
      <c r="AP9" s="75">
        <f>SUM(Table2[[#This Row],[Rondel short flat top GRS32]:[Rondel tall pyramidal ovate top GRS37]])</f>
        <v>0</v>
      </c>
      <c r="AQ9" s="74">
        <v>0</v>
      </c>
      <c r="AR9" s="74">
        <v>0</v>
      </c>
      <c r="AS9" s="74">
        <f>SUM(Table2[[#This Row],[Saddle epidermal short cell GRS38]:[Saddle short epidermal short cell GRS39]])</f>
        <v>0</v>
      </c>
      <c r="AT9" s="74">
        <v>0</v>
      </c>
      <c r="AU9" s="74">
        <v>0</v>
      </c>
      <c r="AV9" s="74">
        <v>0</v>
      </c>
      <c r="AW9" s="74">
        <v>0</v>
      </c>
      <c r="AX9" s="74">
        <v>0</v>
      </c>
      <c r="AY9" s="74">
        <v>0</v>
      </c>
      <c r="AZ9" s="74">
        <v>0</v>
      </c>
      <c r="BA9" s="74">
        <v>0</v>
      </c>
      <c r="BB9" s="74">
        <v>0</v>
      </c>
      <c r="BC9" s="74">
        <v>4</v>
      </c>
      <c r="BD9" s="74">
        <v>0</v>
      </c>
      <c r="BE9" s="74">
        <v>0</v>
      </c>
      <c r="BF9" s="74">
        <v>0</v>
      </c>
      <c r="BG9" s="74">
        <v>0</v>
      </c>
      <c r="BH9" s="74">
        <v>0</v>
      </c>
      <c r="BI9" s="74">
        <v>0</v>
      </c>
      <c r="BJ9" s="74">
        <v>0</v>
      </c>
      <c r="BK9" s="74">
        <v>0</v>
      </c>
      <c r="BL9" s="74">
        <v>0</v>
      </c>
      <c r="BM9" s="74">
        <v>17</v>
      </c>
      <c r="BN9" s="74">
        <v>0</v>
      </c>
      <c r="BO9" s="74">
        <v>0</v>
      </c>
      <c r="BP9" s="74">
        <v>5</v>
      </c>
      <c r="BQ9" s="74">
        <v>0</v>
      </c>
      <c r="BR9" s="74">
        <v>0</v>
      </c>
      <c r="BS9" s="74">
        <v>0</v>
      </c>
      <c r="BT9" s="76">
        <v>0</v>
      </c>
      <c r="BU9" s="77">
        <v>0</v>
      </c>
      <c r="BV9" s="32">
        <f t="shared" si="0"/>
        <v>73</v>
      </c>
      <c r="BW9" s="32">
        <f t="shared" si="1"/>
        <v>47</v>
      </c>
      <c r="BX9" s="32">
        <f t="shared" si="2"/>
        <v>9</v>
      </c>
      <c r="BY9" s="32" t="str">
        <f t="shared" si="3"/>
        <v>5.22222222222222:1</v>
      </c>
      <c r="BZ9" s="81">
        <v>4</v>
      </c>
      <c r="CA9" s="72">
        <f t="shared" si="4"/>
        <v>19</v>
      </c>
      <c r="CB9" s="79">
        <f t="shared" si="5"/>
        <v>1</v>
      </c>
      <c r="CC9" t="str">
        <f t="shared" si="6"/>
        <v>4:1</v>
      </c>
      <c r="CD9" s="80">
        <f t="shared" si="7"/>
        <v>0.21052631578947367</v>
      </c>
      <c r="CE9" s="80">
        <f>BZ9/$BV$9</f>
        <v>5.4794520547945202E-2</v>
      </c>
      <c r="CF9" s="80">
        <f>CA9/$BV$9</f>
        <v>0.26027397260273971</v>
      </c>
      <c r="CH9">
        <f>SUM(Table2[[#This Row],[Elongate cylindrical pscilate long cell GRS13]:[Elongate echinate long cell GRS14]])</f>
        <v>5</v>
      </c>
    </row>
    <row r="10" spans="1:86" x14ac:dyDescent="0.2">
      <c r="A10" t="s">
        <v>576</v>
      </c>
      <c r="B10" s="74">
        <v>40</v>
      </c>
      <c r="C10" s="74">
        <v>11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5">
        <f>SUM(Table2[[#This Row],[Bilobate concave outer margin long shaft var A GRS2]:[Bilobate concave outer margin long shaft var H GRS11]])</f>
        <v>0</v>
      </c>
      <c r="O10" s="74">
        <v>2</v>
      </c>
      <c r="P10" s="74">
        <v>1</v>
      </c>
      <c r="Q10" s="74">
        <v>1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14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5">
        <f>SUM(Table2[[#This Row],[Polylobate epidermal short cell var A GRS25]:[Polylobate epidermal short cell var E GRS29]])</f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0</v>
      </c>
      <c r="AM10" s="74">
        <v>0</v>
      </c>
      <c r="AN10" s="74">
        <v>0</v>
      </c>
      <c r="AO10" s="74">
        <v>0</v>
      </c>
      <c r="AP10" s="75">
        <f>SUM(Table2[[#This Row],[Rondel short flat top GRS32]:[Rondel tall pyramidal ovate top GRS37]])</f>
        <v>0</v>
      </c>
      <c r="AQ10" s="74">
        <v>0</v>
      </c>
      <c r="AR10" s="74">
        <v>0</v>
      </c>
      <c r="AS10" s="74">
        <f>SUM(Table2[[#This Row],[Saddle epidermal short cell GRS38]:[Saddle short epidermal short cell GRS39]])</f>
        <v>0</v>
      </c>
      <c r="AT10" s="74">
        <v>0</v>
      </c>
      <c r="AU10" s="74">
        <v>0</v>
      </c>
      <c r="AV10" s="74">
        <v>0</v>
      </c>
      <c r="AW10" s="74">
        <v>0</v>
      </c>
      <c r="AX10" s="74">
        <v>0</v>
      </c>
      <c r="AY10" s="74">
        <v>0</v>
      </c>
      <c r="AZ10" s="74">
        <v>0</v>
      </c>
      <c r="BA10" s="74">
        <v>0</v>
      </c>
      <c r="BB10" s="74">
        <v>0</v>
      </c>
      <c r="BC10" s="74">
        <v>72</v>
      </c>
      <c r="BD10" s="74">
        <v>0</v>
      </c>
      <c r="BE10" s="74">
        <v>0</v>
      </c>
      <c r="BF10" s="74">
        <v>0</v>
      </c>
      <c r="BG10" s="74">
        <v>0</v>
      </c>
      <c r="BH10" s="74">
        <v>0</v>
      </c>
      <c r="BI10" s="74">
        <v>0</v>
      </c>
      <c r="BJ10" s="74">
        <v>0</v>
      </c>
      <c r="BK10" s="74">
        <v>0</v>
      </c>
      <c r="BL10" s="74">
        <v>0</v>
      </c>
      <c r="BM10" s="74">
        <v>9</v>
      </c>
      <c r="BN10" s="74">
        <v>0</v>
      </c>
      <c r="BO10" s="74">
        <v>0</v>
      </c>
      <c r="BP10" s="74">
        <v>0</v>
      </c>
      <c r="BQ10" s="74">
        <v>0</v>
      </c>
      <c r="BR10" s="74">
        <v>0</v>
      </c>
      <c r="BS10" s="74">
        <v>0</v>
      </c>
      <c r="BT10" s="76">
        <v>0</v>
      </c>
      <c r="BU10" s="77">
        <v>0</v>
      </c>
      <c r="BV10" s="32">
        <f t="shared" si="0"/>
        <v>110</v>
      </c>
      <c r="BW10" s="32">
        <f t="shared" si="1"/>
        <v>29</v>
      </c>
      <c r="BX10" s="32">
        <f t="shared" si="2"/>
        <v>72</v>
      </c>
      <c r="BY10" s="32" t="str">
        <f t="shared" si="3"/>
        <v>0.402777777777778:1</v>
      </c>
      <c r="BZ10" s="78">
        <v>72</v>
      </c>
      <c r="CA10" s="72">
        <f t="shared" si="4"/>
        <v>13</v>
      </c>
      <c r="CB10" s="79">
        <f t="shared" si="5"/>
        <v>1</v>
      </c>
      <c r="CC10" t="str">
        <f t="shared" si="6"/>
        <v>72:1</v>
      </c>
      <c r="CD10" s="80">
        <f t="shared" si="7"/>
        <v>5.5384615384615383</v>
      </c>
      <c r="CE10" s="80">
        <f>BZ10/$BV$10</f>
        <v>0.65454545454545454</v>
      </c>
      <c r="CF10" s="80">
        <f>CA10/$BV$10</f>
        <v>0.11818181818181818</v>
      </c>
      <c r="CH10">
        <f>SUM(Table2[[#This Row],[Elongate cylindrical pscilate long cell GRS13]:[Elongate echinate long cell GRS14]])</f>
        <v>2</v>
      </c>
    </row>
    <row r="11" spans="1:86" x14ac:dyDescent="0.2">
      <c r="A11" t="s">
        <v>577</v>
      </c>
      <c r="B11" s="74">
        <v>45</v>
      </c>
      <c r="C11" s="74">
        <v>3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5">
        <f>SUM(Table2[[#This Row],[Bilobate concave outer margin long shaft var A GRS2]:[Bilobate concave outer margin long shaft var H GRS11]])</f>
        <v>0</v>
      </c>
      <c r="O11" s="74">
        <v>1</v>
      </c>
      <c r="P11" s="74">
        <v>4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9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5">
        <f>SUM(Table2[[#This Row],[Polylobate epidermal short cell var A GRS25]:[Polylobate epidermal short cell var E GRS29]])</f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4">
        <v>0</v>
      </c>
      <c r="AP11" s="75">
        <f>SUM(Table2[[#This Row],[Rondel short flat top GRS32]:[Rondel tall pyramidal ovate top GRS37]])</f>
        <v>0</v>
      </c>
      <c r="AQ11" s="74">
        <v>0</v>
      </c>
      <c r="AR11" s="74">
        <v>0</v>
      </c>
      <c r="AS11" s="74">
        <f>SUM(Table2[[#This Row],[Saddle epidermal short cell GRS38]:[Saddle short epidermal short cell GRS39]])</f>
        <v>0</v>
      </c>
      <c r="AT11" s="74">
        <v>0</v>
      </c>
      <c r="AU11" s="74">
        <v>0</v>
      </c>
      <c r="AV11" s="74">
        <v>0</v>
      </c>
      <c r="AW11" s="74">
        <v>0</v>
      </c>
      <c r="AX11" s="74">
        <v>0</v>
      </c>
      <c r="AY11" s="74">
        <v>0</v>
      </c>
      <c r="AZ11" s="74">
        <v>0</v>
      </c>
      <c r="BA11" s="74">
        <v>0</v>
      </c>
      <c r="BB11" s="74">
        <v>3</v>
      </c>
      <c r="BC11" s="74">
        <v>7</v>
      </c>
      <c r="BD11" s="74">
        <v>0</v>
      </c>
      <c r="BE11" s="74">
        <v>0</v>
      </c>
      <c r="BF11" s="74">
        <v>0</v>
      </c>
      <c r="BG11" s="74">
        <v>0</v>
      </c>
      <c r="BH11" s="74">
        <v>0</v>
      </c>
      <c r="BI11" s="74">
        <v>0</v>
      </c>
      <c r="BJ11" s="74">
        <v>0</v>
      </c>
      <c r="BK11" s="74">
        <v>0</v>
      </c>
      <c r="BL11" s="74">
        <v>0</v>
      </c>
      <c r="BM11" s="74">
        <v>9</v>
      </c>
      <c r="BN11" s="74">
        <v>0</v>
      </c>
      <c r="BO11" s="74">
        <v>0</v>
      </c>
      <c r="BP11" s="74">
        <v>0</v>
      </c>
      <c r="BQ11" s="74">
        <v>0</v>
      </c>
      <c r="BR11" s="74">
        <v>0</v>
      </c>
      <c r="BS11" s="74">
        <v>0</v>
      </c>
      <c r="BT11" s="76">
        <v>0</v>
      </c>
      <c r="BU11" s="77">
        <v>0</v>
      </c>
      <c r="BV11" s="32">
        <f t="shared" si="0"/>
        <v>36</v>
      </c>
      <c r="BW11" s="32">
        <f t="shared" si="1"/>
        <v>17</v>
      </c>
      <c r="BX11" s="32">
        <f t="shared" si="2"/>
        <v>10</v>
      </c>
      <c r="BY11" s="32" t="str">
        <f t="shared" si="3"/>
        <v>1.7:1</v>
      </c>
      <c r="BZ11" s="81">
        <v>7</v>
      </c>
      <c r="CA11" s="72">
        <f t="shared" si="4"/>
        <v>4</v>
      </c>
      <c r="CB11" s="79">
        <f t="shared" si="5"/>
        <v>1</v>
      </c>
      <c r="CC11" t="str">
        <f t="shared" si="6"/>
        <v>7:1</v>
      </c>
      <c r="CD11" s="80">
        <f t="shared" si="7"/>
        <v>1.75</v>
      </c>
      <c r="CE11" s="80">
        <f>BZ11/$BV$11</f>
        <v>0.19444444444444445</v>
      </c>
      <c r="CF11" s="80">
        <f>CA11/$BV$11</f>
        <v>0.1111111111111111</v>
      </c>
      <c r="CH11">
        <f>SUM(Table2[[#This Row],[Elongate cylindrical pscilate long cell GRS13]:[Elongate echinate long cell GRS14]])</f>
        <v>4</v>
      </c>
    </row>
    <row r="12" spans="1:86" x14ac:dyDescent="0.2">
      <c r="A12" t="s">
        <v>578</v>
      </c>
      <c r="B12" s="74">
        <v>50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f>SUM(Table2[[#This Row],[Bilobate concave outer margin long shaft var A GRS2]:[Bilobate concave outer margin long shaft var H GRS11]])</f>
        <v>0</v>
      </c>
      <c r="O12" s="74">
        <v>1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1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5">
        <f>SUM(Table2[[#This Row],[Polylobate epidermal short cell var A GRS25]:[Polylobate epidermal short cell var E GRS29]])</f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5">
        <f>SUM(Table2[[#This Row],[Rondel short flat top GRS32]:[Rondel tall pyramidal ovate top GRS37]])</f>
        <v>0</v>
      </c>
      <c r="AQ12" s="74">
        <v>0</v>
      </c>
      <c r="AR12" s="74">
        <v>0</v>
      </c>
      <c r="AS12" s="74">
        <f>SUM(Table2[[#This Row],[Saddle epidermal short cell GRS38]:[Saddle short epidermal short cell GRS39]])</f>
        <v>0</v>
      </c>
      <c r="AT12" s="74">
        <v>0</v>
      </c>
      <c r="AU12" s="74">
        <v>0</v>
      </c>
      <c r="AV12" s="74">
        <v>0</v>
      </c>
      <c r="AW12" s="74">
        <v>0</v>
      </c>
      <c r="AX12" s="74">
        <v>0</v>
      </c>
      <c r="AY12" s="74">
        <v>0</v>
      </c>
      <c r="AZ12" s="74">
        <v>0</v>
      </c>
      <c r="BA12" s="74">
        <v>2</v>
      </c>
      <c r="BB12" s="74">
        <v>8</v>
      </c>
      <c r="BC12" s="74">
        <v>7</v>
      </c>
      <c r="BD12" s="74">
        <v>3</v>
      </c>
      <c r="BE12" s="74">
        <v>0</v>
      </c>
      <c r="BF12" s="74">
        <v>0</v>
      </c>
      <c r="BG12" s="74">
        <v>14</v>
      </c>
      <c r="BH12" s="74">
        <v>0</v>
      </c>
      <c r="BI12" s="74">
        <v>0</v>
      </c>
      <c r="BJ12" s="74">
        <v>0</v>
      </c>
      <c r="BK12" s="74">
        <v>0</v>
      </c>
      <c r="BL12" s="74">
        <v>0</v>
      </c>
      <c r="BM12" s="74">
        <v>0</v>
      </c>
      <c r="BN12" s="74">
        <v>0</v>
      </c>
      <c r="BO12" s="74">
        <v>0</v>
      </c>
      <c r="BP12" s="74">
        <v>0</v>
      </c>
      <c r="BQ12" s="74">
        <v>0</v>
      </c>
      <c r="BR12" s="74">
        <v>0</v>
      </c>
      <c r="BS12" s="74">
        <v>0</v>
      </c>
      <c r="BT12" s="76">
        <v>0</v>
      </c>
      <c r="BU12" s="77">
        <v>0</v>
      </c>
      <c r="BV12" s="32">
        <f t="shared" si="0"/>
        <v>36</v>
      </c>
      <c r="BW12" s="32">
        <f t="shared" si="1"/>
        <v>2</v>
      </c>
      <c r="BX12" s="32">
        <f t="shared" si="2"/>
        <v>34</v>
      </c>
      <c r="BY12" s="32" t="str">
        <f t="shared" si="3"/>
        <v>0.0588235294117647:1</v>
      </c>
      <c r="BZ12" s="78">
        <v>7</v>
      </c>
      <c r="CA12" s="72">
        <f t="shared" si="4"/>
        <v>1</v>
      </c>
      <c r="CB12" s="79">
        <f t="shared" si="5"/>
        <v>1</v>
      </c>
      <c r="CC12" t="str">
        <f t="shared" si="6"/>
        <v>7:1</v>
      </c>
      <c r="CD12" s="80">
        <f t="shared" si="7"/>
        <v>7</v>
      </c>
      <c r="CE12" s="80">
        <f>BZ12/$BV$12</f>
        <v>0.19444444444444445</v>
      </c>
      <c r="CF12" s="80">
        <f>CA12/$BV$12</f>
        <v>2.7777777777777776E-2</v>
      </c>
      <c r="CH12">
        <f>SUM(Table2[[#This Row],[Elongate cylindrical pscilate long cell GRS13]:[Elongate echinate long cell GRS14]])</f>
        <v>0</v>
      </c>
    </row>
    <row r="13" spans="1:86" x14ac:dyDescent="0.2">
      <c r="A13" t="s">
        <v>579</v>
      </c>
      <c r="B13" s="74">
        <v>55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f>SUM(Table2[[#This Row],[Bilobate concave outer margin long shaft var A GRS2]:[Bilobate concave outer margin long shaft var H GRS11]])</f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11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5">
        <f>SUM(Table2[[#This Row],[Polylobate epidermal short cell var A GRS25]:[Polylobate epidermal short cell var E GRS29]])</f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5">
        <f>SUM(Table2[[#This Row],[Rondel short flat top GRS32]:[Rondel tall pyramidal ovate top GRS37]])</f>
        <v>0</v>
      </c>
      <c r="AQ13" s="74">
        <v>0</v>
      </c>
      <c r="AR13" s="74">
        <v>0</v>
      </c>
      <c r="AS13" s="74">
        <f>SUM(Table2[[#This Row],[Saddle epidermal short cell GRS38]:[Saddle short epidermal short cell GRS39]])</f>
        <v>0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0</v>
      </c>
      <c r="BA13" s="74">
        <v>0</v>
      </c>
      <c r="BB13" s="74">
        <v>31</v>
      </c>
      <c r="BC13" s="74">
        <v>10</v>
      </c>
      <c r="BD13" s="74">
        <v>7</v>
      </c>
      <c r="BE13" s="74">
        <v>0</v>
      </c>
      <c r="BF13" s="74">
        <v>0</v>
      </c>
      <c r="BG13" s="74">
        <v>18</v>
      </c>
      <c r="BH13" s="74">
        <v>0</v>
      </c>
      <c r="BI13" s="74">
        <v>0</v>
      </c>
      <c r="BJ13" s="74">
        <v>0</v>
      </c>
      <c r="BK13" s="74">
        <v>0</v>
      </c>
      <c r="BL13" s="74">
        <v>0</v>
      </c>
      <c r="BM13" s="74">
        <v>22</v>
      </c>
      <c r="BN13" s="74">
        <v>0</v>
      </c>
      <c r="BO13" s="74">
        <v>0</v>
      </c>
      <c r="BP13" s="74">
        <v>0</v>
      </c>
      <c r="BQ13" s="74">
        <v>0</v>
      </c>
      <c r="BR13" s="74">
        <v>0</v>
      </c>
      <c r="BS13" s="74">
        <v>0</v>
      </c>
      <c r="BT13" s="76">
        <v>0</v>
      </c>
      <c r="BU13" s="77">
        <v>0</v>
      </c>
      <c r="BV13" s="32">
        <f t="shared" si="0"/>
        <v>99</v>
      </c>
      <c r="BW13" s="32">
        <f t="shared" si="1"/>
        <v>11</v>
      </c>
      <c r="BX13" s="32">
        <f t="shared" si="2"/>
        <v>66</v>
      </c>
      <c r="BY13" s="32" t="str">
        <f t="shared" si="3"/>
        <v>0.166666666666667:1</v>
      </c>
      <c r="BZ13" s="81">
        <v>10</v>
      </c>
      <c r="CA13" s="72">
        <v>1</v>
      </c>
      <c r="CB13" s="79">
        <f t="shared" si="5"/>
        <v>1</v>
      </c>
      <c r="CC13" t="str">
        <f t="shared" si="6"/>
        <v>10:1</v>
      </c>
      <c r="CD13" s="80">
        <f t="shared" si="7"/>
        <v>10</v>
      </c>
      <c r="CE13" s="80">
        <f>BZ13/$BV$13</f>
        <v>0.10101010101010101</v>
      </c>
      <c r="CF13" s="80">
        <f>CA13/$BV$13</f>
        <v>1.0101010101010102E-2</v>
      </c>
      <c r="CH13">
        <f>SUM(Table2[[#This Row],[Elongate cylindrical pscilate long cell GRS13]:[Elongate echinate long cell GRS14]])</f>
        <v>0</v>
      </c>
    </row>
    <row r="14" spans="1:86" x14ac:dyDescent="0.2">
      <c r="A14" t="s">
        <v>580</v>
      </c>
      <c r="B14" s="74">
        <v>60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5">
        <f>SUM(Table2[[#This Row],[Bilobate concave outer margin long shaft var A GRS2]:[Bilobate concave outer margin long shaft var H GRS11]])</f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4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5">
        <f>SUM(Table2[[#This Row],[Polylobate epidermal short cell var A GRS25]:[Polylobate epidermal short cell var E GRS29]])</f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4">
        <v>0</v>
      </c>
      <c r="AP14" s="75">
        <f>SUM(Table2[[#This Row],[Rondel short flat top GRS32]:[Rondel tall pyramidal ovate top GRS37]])</f>
        <v>0</v>
      </c>
      <c r="AQ14" s="74">
        <v>0</v>
      </c>
      <c r="AR14" s="74">
        <v>0</v>
      </c>
      <c r="AS14" s="74">
        <f>SUM(Table2[[#This Row],[Saddle epidermal short cell GRS38]:[Saddle short epidermal short cell GRS39]])</f>
        <v>0</v>
      </c>
      <c r="AT14" s="74">
        <v>0</v>
      </c>
      <c r="AU14" s="74">
        <v>0</v>
      </c>
      <c r="AV14" s="74">
        <v>0</v>
      </c>
      <c r="AW14" s="74">
        <v>0</v>
      </c>
      <c r="AX14" s="74">
        <v>0</v>
      </c>
      <c r="AY14" s="74">
        <v>0</v>
      </c>
      <c r="AZ14" s="74">
        <v>0</v>
      </c>
      <c r="BA14" s="74">
        <v>0</v>
      </c>
      <c r="BB14" s="74">
        <v>4</v>
      </c>
      <c r="BC14" s="74">
        <v>42</v>
      </c>
      <c r="BD14" s="74">
        <v>8</v>
      </c>
      <c r="BE14" s="74">
        <v>0</v>
      </c>
      <c r="BF14" s="74">
        <v>0</v>
      </c>
      <c r="BG14" s="74">
        <v>20</v>
      </c>
      <c r="BH14" s="74">
        <v>0</v>
      </c>
      <c r="BI14" s="74">
        <v>0</v>
      </c>
      <c r="BJ14" s="74">
        <v>0</v>
      </c>
      <c r="BK14" s="74">
        <v>0</v>
      </c>
      <c r="BL14" s="74">
        <v>0</v>
      </c>
      <c r="BM14" s="74">
        <v>2</v>
      </c>
      <c r="BN14" s="74">
        <v>0</v>
      </c>
      <c r="BO14" s="74">
        <v>0</v>
      </c>
      <c r="BP14" s="74">
        <v>0</v>
      </c>
      <c r="BQ14" s="74">
        <v>0</v>
      </c>
      <c r="BR14" s="74">
        <v>0</v>
      </c>
      <c r="BS14" s="74">
        <v>0</v>
      </c>
      <c r="BT14" s="76">
        <v>0</v>
      </c>
      <c r="BU14" s="77">
        <v>0</v>
      </c>
      <c r="BV14" s="32">
        <f t="shared" si="0"/>
        <v>80</v>
      </c>
      <c r="BW14" s="32">
        <f t="shared" si="1"/>
        <v>4</v>
      </c>
      <c r="BX14" s="32">
        <f t="shared" si="2"/>
        <v>74</v>
      </c>
      <c r="BY14" s="32" t="str">
        <f t="shared" si="3"/>
        <v>0.0540540540540541:1</v>
      </c>
      <c r="BZ14" s="78">
        <v>42</v>
      </c>
      <c r="CA14" s="72">
        <v>1</v>
      </c>
      <c r="CB14" s="79">
        <f t="shared" si="5"/>
        <v>1</v>
      </c>
      <c r="CC14" t="str">
        <f t="shared" si="6"/>
        <v>42:1</v>
      </c>
      <c r="CD14" s="80">
        <f t="shared" si="7"/>
        <v>42</v>
      </c>
      <c r="CE14" s="80">
        <f>BZ14/$BV$14</f>
        <v>0.52500000000000002</v>
      </c>
      <c r="CF14" s="80">
        <f>CA14/$BV$14</f>
        <v>1.2500000000000001E-2</v>
      </c>
      <c r="CH14">
        <f>SUM(Table2[[#This Row],[Elongate cylindrical pscilate long cell GRS13]:[Elongate echinate long cell GRS14]])</f>
        <v>0</v>
      </c>
    </row>
    <row r="15" spans="1:86" x14ac:dyDescent="0.2">
      <c r="C15">
        <f>SUM(C2:C14)</f>
        <v>169</v>
      </c>
      <c r="D15">
        <f t="shared" ref="D15:BU15" si="8">SUM(D2:D14)</f>
        <v>2</v>
      </c>
      <c r="E15">
        <f t="shared" si="8"/>
        <v>24</v>
      </c>
      <c r="F15">
        <f t="shared" si="8"/>
        <v>90</v>
      </c>
      <c r="G15">
        <f t="shared" si="8"/>
        <v>6</v>
      </c>
      <c r="H15">
        <f t="shared" si="8"/>
        <v>0</v>
      </c>
      <c r="I15">
        <f t="shared" si="8"/>
        <v>5</v>
      </c>
      <c r="J15">
        <f t="shared" si="8"/>
        <v>56</v>
      </c>
      <c r="K15">
        <f t="shared" si="8"/>
        <v>6</v>
      </c>
      <c r="L15">
        <f t="shared" si="8"/>
        <v>5</v>
      </c>
      <c r="M15">
        <f t="shared" si="8"/>
        <v>0</v>
      </c>
      <c r="N15" s="82">
        <f t="shared" si="8"/>
        <v>194</v>
      </c>
      <c r="O15">
        <f t="shared" si="8"/>
        <v>56</v>
      </c>
      <c r="P15">
        <f t="shared" si="8"/>
        <v>269</v>
      </c>
      <c r="Q15">
        <f t="shared" si="8"/>
        <v>82</v>
      </c>
      <c r="R15">
        <f t="shared" si="8"/>
        <v>0</v>
      </c>
      <c r="S15">
        <f t="shared" si="8"/>
        <v>0</v>
      </c>
      <c r="T15">
        <f t="shared" si="8"/>
        <v>0</v>
      </c>
      <c r="U15">
        <f t="shared" si="8"/>
        <v>0</v>
      </c>
      <c r="V15">
        <f t="shared" si="8"/>
        <v>0</v>
      </c>
      <c r="W15">
        <f t="shared" si="8"/>
        <v>0</v>
      </c>
      <c r="X15">
        <f t="shared" si="8"/>
        <v>0</v>
      </c>
      <c r="Y15">
        <f t="shared" si="8"/>
        <v>389</v>
      </c>
      <c r="Z15">
        <f t="shared" si="8"/>
        <v>0</v>
      </c>
      <c r="AA15">
        <f t="shared" si="8"/>
        <v>0</v>
      </c>
      <c r="AB15">
        <f t="shared" si="8"/>
        <v>2</v>
      </c>
      <c r="AC15">
        <f t="shared" si="8"/>
        <v>0</v>
      </c>
      <c r="AD15">
        <f t="shared" si="8"/>
        <v>0</v>
      </c>
      <c r="AE15">
        <f t="shared" si="8"/>
        <v>0</v>
      </c>
      <c r="AF15">
        <f t="shared" si="8"/>
        <v>0</v>
      </c>
      <c r="AG15" s="82">
        <f t="shared" si="8"/>
        <v>2</v>
      </c>
      <c r="AH15">
        <f t="shared" si="8"/>
        <v>0</v>
      </c>
      <c r="AI15">
        <f t="shared" si="8"/>
        <v>14</v>
      </c>
      <c r="AJ15">
        <f t="shared" si="8"/>
        <v>16</v>
      </c>
      <c r="AK15">
        <f t="shared" si="8"/>
        <v>1</v>
      </c>
      <c r="AL15">
        <f t="shared" si="8"/>
        <v>0</v>
      </c>
      <c r="AM15">
        <f t="shared" si="8"/>
        <v>11</v>
      </c>
      <c r="AN15">
        <f t="shared" si="8"/>
        <v>2</v>
      </c>
      <c r="AO15">
        <f t="shared" si="8"/>
        <v>1</v>
      </c>
      <c r="AP15" s="82">
        <f t="shared" si="8"/>
        <v>31</v>
      </c>
      <c r="AQ15">
        <f t="shared" si="8"/>
        <v>130</v>
      </c>
      <c r="AR15">
        <f t="shared" si="8"/>
        <v>35</v>
      </c>
      <c r="AS15">
        <f t="shared" si="8"/>
        <v>165</v>
      </c>
      <c r="AT15">
        <f t="shared" si="8"/>
        <v>1</v>
      </c>
      <c r="AU15">
        <f t="shared" si="8"/>
        <v>16</v>
      </c>
      <c r="AV15">
        <f t="shared" si="8"/>
        <v>7</v>
      </c>
      <c r="AW15">
        <f t="shared" si="8"/>
        <v>0</v>
      </c>
      <c r="AX15">
        <f t="shared" si="8"/>
        <v>0</v>
      </c>
      <c r="AY15">
        <f t="shared" si="8"/>
        <v>1</v>
      </c>
      <c r="AZ15">
        <f t="shared" si="8"/>
        <v>0</v>
      </c>
      <c r="BA15">
        <f t="shared" si="8"/>
        <v>2</v>
      </c>
      <c r="BB15">
        <f t="shared" si="8"/>
        <v>46</v>
      </c>
      <c r="BC15">
        <f t="shared" si="8"/>
        <v>187</v>
      </c>
      <c r="BD15">
        <f t="shared" si="8"/>
        <v>18</v>
      </c>
      <c r="BE15">
        <f t="shared" si="8"/>
        <v>0</v>
      </c>
      <c r="BF15">
        <f t="shared" si="8"/>
        <v>0</v>
      </c>
      <c r="BG15">
        <f t="shared" si="8"/>
        <v>52</v>
      </c>
      <c r="BH15">
        <f t="shared" si="8"/>
        <v>2</v>
      </c>
      <c r="BI15">
        <f t="shared" si="8"/>
        <v>0</v>
      </c>
      <c r="BJ15">
        <f t="shared" si="8"/>
        <v>0</v>
      </c>
      <c r="BK15">
        <f t="shared" si="8"/>
        <v>0</v>
      </c>
      <c r="BL15">
        <f t="shared" si="8"/>
        <v>0</v>
      </c>
      <c r="BM15">
        <f t="shared" si="8"/>
        <v>203</v>
      </c>
      <c r="BN15">
        <f>SUM(BN2:BN14)</f>
        <v>0</v>
      </c>
      <c r="BO15">
        <f t="shared" si="8"/>
        <v>1</v>
      </c>
      <c r="BP15">
        <f t="shared" si="8"/>
        <v>21</v>
      </c>
      <c r="BQ15">
        <f t="shared" si="8"/>
        <v>1</v>
      </c>
      <c r="BR15">
        <f t="shared" si="8"/>
        <v>0</v>
      </c>
      <c r="BS15">
        <f t="shared" si="8"/>
        <v>2</v>
      </c>
      <c r="BT15">
        <f t="shared" si="8"/>
        <v>1</v>
      </c>
      <c r="BU15">
        <f t="shared" si="8"/>
        <v>8</v>
      </c>
      <c r="BV15" s="32">
        <f t="shared" si="0"/>
        <v>2332</v>
      </c>
      <c r="BW15" s="32">
        <f t="shared" si="1"/>
        <v>1568</v>
      </c>
      <c r="BX15" s="32">
        <f t="shared" si="2"/>
        <v>334</v>
      </c>
      <c r="BY15" s="32" t="str">
        <f>(BW15/BX15)&amp;":"&amp;(BX15/BX15)</f>
        <v>4.69461077844311:1</v>
      </c>
      <c r="BZ15" s="32">
        <f>SUM(BZ2:BZ14)</f>
        <v>187</v>
      </c>
      <c r="CA15" s="32">
        <f>SUM(CA2:CA14)</f>
        <v>633</v>
      </c>
      <c r="CB15" s="79"/>
      <c r="CH15">
        <f>SUM(CH2:CH14)</f>
        <v>351</v>
      </c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8"/>
  <sheetViews>
    <sheetView workbookViewId="0">
      <selection sqref="A1:A14"/>
    </sheetView>
  </sheetViews>
  <sheetFormatPr baseColWidth="10" defaultRowHeight="16" x14ac:dyDescent="0.2"/>
  <cols>
    <col min="1" max="1" width="20" bestFit="1" customWidth="1"/>
    <col min="2" max="2" width="8.83203125" bestFit="1" customWidth="1"/>
  </cols>
  <sheetData>
    <row r="1" spans="1:80" x14ac:dyDescent="0.2">
      <c r="A1" t="s">
        <v>484</v>
      </c>
      <c r="B1" t="s">
        <v>581</v>
      </c>
      <c r="C1" s="64" t="s">
        <v>486</v>
      </c>
      <c r="D1" s="64" t="s">
        <v>487</v>
      </c>
      <c r="E1" s="64" t="s">
        <v>488</v>
      </c>
      <c r="F1" s="64" t="s">
        <v>489</v>
      </c>
      <c r="G1" s="64" t="s">
        <v>490</v>
      </c>
      <c r="H1" s="64" t="s">
        <v>491</v>
      </c>
      <c r="I1" s="64" t="s">
        <v>492</v>
      </c>
      <c r="J1" s="64" t="s">
        <v>493</v>
      </c>
      <c r="K1" s="64" t="s">
        <v>494</v>
      </c>
      <c r="L1" s="64" t="s">
        <v>495</v>
      </c>
      <c r="M1" s="64" t="s">
        <v>496</v>
      </c>
      <c r="N1" s="85" t="s">
        <v>582</v>
      </c>
      <c r="O1" s="64" t="s">
        <v>498</v>
      </c>
      <c r="P1" s="64" t="s">
        <v>499</v>
      </c>
      <c r="Q1" s="64" t="s">
        <v>500</v>
      </c>
      <c r="R1" s="64" t="s">
        <v>501</v>
      </c>
      <c r="S1" s="64" t="s">
        <v>502</v>
      </c>
      <c r="T1" s="64" t="s">
        <v>432</v>
      </c>
      <c r="U1" s="64" t="s">
        <v>503</v>
      </c>
      <c r="V1" s="64" t="s">
        <v>504</v>
      </c>
      <c r="W1" s="64" t="s">
        <v>505</v>
      </c>
      <c r="X1" s="64" t="s">
        <v>506</v>
      </c>
      <c r="Y1" s="64" t="s">
        <v>507</v>
      </c>
      <c r="Z1" s="64" t="s">
        <v>508</v>
      </c>
      <c r="AA1" s="64" t="s">
        <v>509</v>
      </c>
      <c r="AB1" s="64" t="s">
        <v>510</v>
      </c>
      <c r="AC1" s="64" t="s">
        <v>511</v>
      </c>
      <c r="AD1" s="64" t="s">
        <v>512</v>
      </c>
      <c r="AE1" s="64" t="s">
        <v>513</v>
      </c>
      <c r="AF1" s="64" t="s">
        <v>514</v>
      </c>
      <c r="AG1" s="85" t="s">
        <v>583</v>
      </c>
      <c r="AH1" s="64" t="s">
        <v>516</v>
      </c>
      <c r="AI1" s="64" t="s">
        <v>517</v>
      </c>
      <c r="AJ1" s="64" t="s">
        <v>518</v>
      </c>
      <c r="AK1" s="64" t="s">
        <v>519</v>
      </c>
      <c r="AL1" s="64" t="s">
        <v>520</v>
      </c>
      <c r="AM1" s="64" t="s">
        <v>521</v>
      </c>
      <c r="AN1" s="64" t="s">
        <v>522</v>
      </c>
      <c r="AO1" s="67" t="s">
        <v>523</v>
      </c>
      <c r="AP1" s="66" t="s">
        <v>584</v>
      </c>
      <c r="AQ1" s="67" t="s">
        <v>525</v>
      </c>
      <c r="AR1" s="67" t="s">
        <v>526</v>
      </c>
      <c r="AS1" s="67" t="s">
        <v>527</v>
      </c>
      <c r="AT1" s="64" t="s">
        <v>528</v>
      </c>
      <c r="AU1" s="64" t="s">
        <v>529</v>
      </c>
      <c r="AV1" s="68" t="s">
        <v>531</v>
      </c>
      <c r="AW1" s="68" t="s">
        <v>532</v>
      </c>
      <c r="AX1" s="68" t="s">
        <v>533</v>
      </c>
      <c r="AY1" s="68" t="s">
        <v>534</v>
      </c>
      <c r="AZ1" s="68" t="s">
        <v>535</v>
      </c>
      <c r="BA1" s="68" t="s">
        <v>536</v>
      </c>
      <c r="BB1" s="68" t="s">
        <v>537</v>
      </c>
      <c r="BC1" s="68" t="s">
        <v>538</v>
      </c>
      <c r="BD1" s="68" t="s">
        <v>539</v>
      </c>
      <c r="BE1" s="68" t="s">
        <v>540</v>
      </c>
      <c r="BF1" s="68" t="s">
        <v>541</v>
      </c>
      <c r="BG1" s="68" t="s">
        <v>542</v>
      </c>
      <c r="BH1" s="68" t="s">
        <v>543</v>
      </c>
      <c r="BI1" s="68" t="s">
        <v>544</v>
      </c>
      <c r="BJ1" s="68" t="s">
        <v>545</v>
      </c>
      <c r="BK1" s="68" t="s">
        <v>546</v>
      </c>
      <c r="BL1" s="68" t="s">
        <v>585</v>
      </c>
      <c r="BM1" s="68" t="s">
        <v>548</v>
      </c>
      <c r="BN1" s="68" t="s">
        <v>549</v>
      </c>
      <c r="BO1" s="68" t="s">
        <v>550</v>
      </c>
      <c r="BP1" s="68" t="s">
        <v>551</v>
      </c>
      <c r="BQ1" s="68" t="s">
        <v>552</v>
      </c>
      <c r="BR1" s="69" t="s">
        <v>553</v>
      </c>
      <c r="BS1" s="86" t="s">
        <v>396</v>
      </c>
      <c r="BT1" t="s">
        <v>556</v>
      </c>
      <c r="BU1" t="s">
        <v>586</v>
      </c>
      <c r="BV1" t="s">
        <v>587</v>
      </c>
      <c r="BW1" t="s">
        <v>588</v>
      </c>
      <c r="BX1" t="s">
        <v>560</v>
      </c>
      <c r="BY1" t="s">
        <v>561</v>
      </c>
      <c r="BZ1" t="s">
        <v>564</v>
      </c>
      <c r="CA1" t="s">
        <v>565</v>
      </c>
      <c r="CB1" t="s">
        <v>589</v>
      </c>
    </row>
    <row r="2" spans="1:80" x14ac:dyDescent="0.2">
      <c r="A2" t="s">
        <v>590</v>
      </c>
      <c r="B2" s="74">
        <v>0</v>
      </c>
      <c r="C2" s="74">
        <v>23</v>
      </c>
      <c r="D2" s="74">
        <v>0</v>
      </c>
      <c r="E2" s="74">
        <v>2</v>
      </c>
      <c r="F2" s="74">
        <v>10</v>
      </c>
      <c r="G2" s="74">
        <v>0</v>
      </c>
      <c r="H2" s="74">
        <v>0</v>
      </c>
      <c r="I2" s="74">
        <v>0</v>
      </c>
      <c r="J2" s="74">
        <v>0</v>
      </c>
      <c r="K2" s="74">
        <v>0</v>
      </c>
      <c r="L2" s="74">
        <v>0</v>
      </c>
      <c r="M2" s="74">
        <v>0</v>
      </c>
      <c r="N2" s="75">
        <f>SUM(Table5[[#This Row],[Bilobate concave outer margin long shaft var A GRS2]:[Bilobate concave outer margin long shaft var H GRS11]])</f>
        <v>12</v>
      </c>
      <c r="O2" s="74">
        <v>17</v>
      </c>
      <c r="P2" s="74">
        <v>45</v>
      </c>
      <c r="Q2" s="74">
        <v>30</v>
      </c>
      <c r="R2" s="74">
        <v>0</v>
      </c>
      <c r="S2" s="74">
        <v>0</v>
      </c>
      <c r="T2" s="74">
        <v>0</v>
      </c>
      <c r="U2" s="74">
        <v>0</v>
      </c>
      <c r="V2" s="74">
        <v>0</v>
      </c>
      <c r="W2" s="74">
        <v>0</v>
      </c>
      <c r="X2" s="74">
        <v>0</v>
      </c>
      <c r="Y2" s="74">
        <v>67</v>
      </c>
      <c r="Z2" s="74">
        <v>0</v>
      </c>
      <c r="AA2" s="74">
        <v>0</v>
      </c>
      <c r="AB2" s="74">
        <v>0</v>
      </c>
      <c r="AC2" s="74">
        <v>0</v>
      </c>
      <c r="AD2" s="74">
        <v>0</v>
      </c>
      <c r="AE2" s="74">
        <v>0</v>
      </c>
      <c r="AF2" s="74">
        <v>0</v>
      </c>
      <c r="AG2" s="75">
        <f>SUM(Table5[[#This Row],[Polylobate epidermal short cell var A GRS25]:[Polylobate epidermal short cell var E GRS29]])</f>
        <v>0</v>
      </c>
      <c r="AH2" s="74">
        <v>0</v>
      </c>
      <c r="AI2" s="74">
        <v>2</v>
      </c>
      <c r="AJ2" s="74">
        <v>0</v>
      </c>
      <c r="AK2" s="74">
        <v>0</v>
      </c>
      <c r="AL2" s="74">
        <v>0</v>
      </c>
      <c r="AM2" s="74">
        <v>0</v>
      </c>
      <c r="AN2" s="74">
        <v>0</v>
      </c>
      <c r="AO2" s="74">
        <v>1</v>
      </c>
      <c r="AP2" s="75">
        <f>SUM(Table5[[#This Row],[Rondel short flat top GRS32]:[Rondel tall pyramidal ovate top GRS37]])</f>
        <v>1</v>
      </c>
      <c r="AQ2" s="74">
        <v>10</v>
      </c>
      <c r="AR2" s="74">
        <v>0</v>
      </c>
      <c r="AS2" s="74">
        <f>SUM(Table5[[#This Row],[Saddle epidermal short cell GRS38]:[Saddle short epidermal short cell GRS39]])</f>
        <v>10</v>
      </c>
      <c r="AT2" s="74">
        <v>0</v>
      </c>
      <c r="AU2" s="74">
        <v>0</v>
      </c>
      <c r="AV2" s="74">
        <v>0</v>
      </c>
      <c r="AW2" s="74">
        <v>6</v>
      </c>
      <c r="AX2" s="74">
        <v>0</v>
      </c>
      <c r="AY2" s="74">
        <v>0</v>
      </c>
      <c r="AZ2" s="74">
        <v>0</v>
      </c>
      <c r="BA2" s="74">
        <v>0</v>
      </c>
      <c r="BB2" s="74">
        <v>3</v>
      </c>
      <c r="BC2" s="74">
        <v>4</v>
      </c>
      <c r="BD2" s="74">
        <v>0</v>
      </c>
      <c r="BE2" s="74">
        <v>0</v>
      </c>
      <c r="BF2" s="74">
        <v>0</v>
      </c>
      <c r="BG2" s="74">
        <v>0</v>
      </c>
      <c r="BH2" s="74">
        <v>0</v>
      </c>
      <c r="BI2" s="74">
        <v>0</v>
      </c>
      <c r="BJ2" s="74">
        <v>2</v>
      </c>
      <c r="BK2" s="74">
        <v>0</v>
      </c>
      <c r="BL2" s="74">
        <v>70</v>
      </c>
      <c r="BM2" s="74">
        <v>0</v>
      </c>
      <c r="BN2" s="74">
        <v>0</v>
      </c>
      <c r="BO2" s="74">
        <v>9</v>
      </c>
      <c r="BP2" s="74">
        <v>35</v>
      </c>
      <c r="BQ2" s="74">
        <v>0</v>
      </c>
      <c r="BR2" s="54">
        <v>0</v>
      </c>
      <c r="BS2" s="87">
        <v>14</v>
      </c>
      <c r="BT2">
        <f t="shared" ref="BT2:BT14" si="0">SUM(C2:BS2)</f>
        <v>373</v>
      </c>
      <c r="BU2">
        <f>SUM(C2:M2,O2:AF2,AH2:AO2,AQ2:AR2,AT2:AU2)</f>
        <v>207</v>
      </c>
      <c r="BV2">
        <f>SUM(AV2:BK2,BM2:BS2)</f>
        <v>73</v>
      </c>
      <c r="BW2" s="88" t="str">
        <f>(BU2/BV2)&amp;":"&amp;(BV2/BV2)</f>
        <v>2.83561643835616:1</v>
      </c>
      <c r="BX2" s="83">
        <v>3</v>
      </c>
      <c r="BY2">
        <f>SUM(C2,N2,O2,AG2,AI2,AS2,AP2)</f>
        <v>65</v>
      </c>
      <c r="BZ2" s="80">
        <f>BX2/BY2</f>
        <v>4.6153846153846156E-2</v>
      </c>
      <c r="CA2" s="80">
        <f>BX2/$BT$2</f>
        <v>8.0428954423592495E-3</v>
      </c>
      <c r="CB2" s="80">
        <f>BY2/$BT$2</f>
        <v>0.17426273458445041</v>
      </c>
    </row>
    <row r="3" spans="1:80" x14ac:dyDescent="0.2">
      <c r="A3" t="s">
        <v>591</v>
      </c>
      <c r="B3" s="74">
        <v>5</v>
      </c>
      <c r="C3" s="74">
        <v>17</v>
      </c>
      <c r="D3" s="74">
        <v>1</v>
      </c>
      <c r="E3" s="74">
        <v>1</v>
      </c>
      <c r="F3" s="74">
        <v>0</v>
      </c>
      <c r="G3" s="74">
        <v>0</v>
      </c>
      <c r="H3" s="74">
        <v>0</v>
      </c>
      <c r="I3" s="74">
        <v>0</v>
      </c>
      <c r="J3" s="74">
        <v>7</v>
      </c>
      <c r="K3" s="74">
        <v>1</v>
      </c>
      <c r="L3" s="74">
        <v>0</v>
      </c>
      <c r="M3" s="74">
        <v>0</v>
      </c>
      <c r="N3" s="75">
        <f>SUM(Table5[[#This Row],[Bilobate concave outer margin long shaft var A GRS2]:[Bilobate concave outer margin long shaft var H GRS11]])</f>
        <v>10</v>
      </c>
      <c r="O3" s="74">
        <v>18</v>
      </c>
      <c r="P3" s="74">
        <v>34</v>
      </c>
      <c r="Q3" s="74">
        <v>18</v>
      </c>
      <c r="R3" s="74">
        <v>0</v>
      </c>
      <c r="S3" s="74">
        <v>0</v>
      </c>
      <c r="T3" s="74">
        <v>0</v>
      </c>
      <c r="U3" s="74">
        <v>0</v>
      </c>
      <c r="V3" s="74">
        <v>0</v>
      </c>
      <c r="W3" s="74">
        <v>0</v>
      </c>
      <c r="X3" s="74">
        <v>0</v>
      </c>
      <c r="Y3" s="74">
        <v>33</v>
      </c>
      <c r="Z3" s="74">
        <v>0</v>
      </c>
      <c r="AA3" s="74">
        <v>0</v>
      </c>
      <c r="AB3" s="74">
        <v>2</v>
      </c>
      <c r="AC3" s="74">
        <v>0</v>
      </c>
      <c r="AD3" s="74">
        <v>0</v>
      </c>
      <c r="AE3" s="74">
        <v>1</v>
      </c>
      <c r="AF3" s="74">
        <v>0</v>
      </c>
      <c r="AG3" s="75">
        <f>SUM(Table5[[#This Row],[Polylobate epidermal short cell var A GRS25]:[Polylobate epidermal short cell var E GRS29]])</f>
        <v>3</v>
      </c>
      <c r="AH3" s="74">
        <v>0</v>
      </c>
      <c r="AI3" s="74">
        <v>0</v>
      </c>
      <c r="AJ3" s="74">
        <v>0</v>
      </c>
      <c r="AK3" s="74">
        <v>0</v>
      </c>
      <c r="AL3" s="74">
        <v>0</v>
      </c>
      <c r="AM3" s="74">
        <v>1</v>
      </c>
      <c r="AN3" s="74">
        <v>0</v>
      </c>
      <c r="AO3" s="74">
        <v>0</v>
      </c>
      <c r="AP3" s="75">
        <f>SUM(Table5[[#This Row],[Rondel short flat top GRS32]:[Rondel tall pyramidal ovate top GRS37]])</f>
        <v>1</v>
      </c>
      <c r="AQ3" s="74">
        <v>4</v>
      </c>
      <c r="AR3" s="74">
        <v>0</v>
      </c>
      <c r="AS3" s="74">
        <f>SUM(Table5[[#This Row],[Saddle epidermal short cell GRS38]:[Saddle short epidermal short cell GRS39]])</f>
        <v>4</v>
      </c>
      <c r="AT3" s="74">
        <v>0</v>
      </c>
      <c r="AU3" s="74">
        <v>0</v>
      </c>
      <c r="AV3" s="74">
        <v>0</v>
      </c>
      <c r="AW3" s="74">
        <v>0</v>
      </c>
      <c r="AX3" s="74">
        <v>1</v>
      </c>
      <c r="AY3" s="74">
        <v>0</v>
      </c>
      <c r="AZ3" s="74">
        <v>0</v>
      </c>
      <c r="BA3" s="74">
        <v>0</v>
      </c>
      <c r="BB3" s="74">
        <v>2</v>
      </c>
      <c r="BC3" s="74">
        <v>0</v>
      </c>
      <c r="BD3" s="74">
        <v>0</v>
      </c>
      <c r="BE3" s="74">
        <v>0</v>
      </c>
      <c r="BF3" s="74">
        <v>0</v>
      </c>
      <c r="BG3" s="74">
        <v>0</v>
      </c>
      <c r="BH3" s="74">
        <v>0</v>
      </c>
      <c r="BI3" s="74">
        <v>0</v>
      </c>
      <c r="BJ3" s="74">
        <v>2</v>
      </c>
      <c r="BK3" s="74">
        <v>0</v>
      </c>
      <c r="BL3" s="74">
        <v>34</v>
      </c>
      <c r="BM3" s="74">
        <v>0</v>
      </c>
      <c r="BN3" s="74">
        <v>0</v>
      </c>
      <c r="BO3" s="74">
        <v>11</v>
      </c>
      <c r="BP3" s="74">
        <v>27</v>
      </c>
      <c r="BQ3" s="74">
        <v>0</v>
      </c>
      <c r="BR3" s="54">
        <v>0</v>
      </c>
      <c r="BS3" s="74">
        <v>10</v>
      </c>
      <c r="BT3">
        <f t="shared" si="0"/>
        <v>243</v>
      </c>
      <c r="BU3">
        <f t="shared" ref="BU3:BU15" si="1">SUM(C3:M3,O3:AF3,AH3:AO3,AQ3:AR3,AT3:AU3)</f>
        <v>138</v>
      </c>
      <c r="BV3">
        <f t="shared" ref="BV3:BV15" si="2">SUM(AV3:BK3,BM3:BS3)</f>
        <v>53</v>
      </c>
      <c r="BW3" t="str">
        <f t="shared" ref="BW3:BW15" si="3">(BU3/BV3)&amp;":"&amp;(BV3/BV3)</f>
        <v>2.60377358490566:1</v>
      </c>
      <c r="BX3" s="84">
        <v>2</v>
      </c>
      <c r="BY3">
        <f t="shared" ref="BY3:BY13" si="4">SUM(C3,N3,O3,AG3,AI3,AS3,AP3)</f>
        <v>53</v>
      </c>
      <c r="BZ3" s="80">
        <f t="shared" ref="BZ3:BZ14" si="5">BX3/BY3</f>
        <v>3.7735849056603772E-2</v>
      </c>
      <c r="CA3" s="80">
        <f>BX3/$BT$3</f>
        <v>8.23045267489712E-3</v>
      </c>
      <c r="CB3" s="80">
        <f>BY3/$BT$3</f>
        <v>0.21810699588477367</v>
      </c>
    </row>
    <row r="4" spans="1:80" x14ac:dyDescent="0.2">
      <c r="A4" t="s">
        <v>592</v>
      </c>
      <c r="B4" s="74">
        <v>10</v>
      </c>
      <c r="C4" s="74">
        <v>15</v>
      </c>
      <c r="D4" s="74">
        <v>1</v>
      </c>
      <c r="E4" s="74">
        <v>1</v>
      </c>
      <c r="F4" s="74">
        <v>17</v>
      </c>
      <c r="G4" s="74">
        <v>0</v>
      </c>
      <c r="H4" s="74">
        <v>0</v>
      </c>
      <c r="I4" s="74">
        <v>0</v>
      </c>
      <c r="J4" s="74">
        <v>0</v>
      </c>
      <c r="K4" s="74">
        <v>0</v>
      </c>
      <c r="L4" s="74">
        <v>0</v>
      </c>
      <c r="M4" s="74">
        <v>0</v>
      </c>
      <c r="N4" s="75">
        <f>SUM(Table5[[#This Row],[Bilobate concave outer margin long shaft var A GRS2]:[Bilobate concave outer margin long shaft var H GRS11]])</f>
        <v>19</v>
      </c>
      <c r="O4" s="74">
        <v>8</v>
      </c>
      <c r="P4" s="74">
        <v>49</v>
      </c>
      <c r="Q4" s="74">
        <v>6</v>
      </c>
      <c r="R4" s="74">
        <v>0</v>
      </c>
      <c r="S4" s="74">
        <v>0</v>
      </c>
      <c r="T4" s="74">
        <v>0</v>
      </c>
      <c r="U4" s="74">
        <v>0</v>
      </c>
      <c r="V4" s="74">
        <v>0</v>
      </c>
      <c r="W4" s="74">
        <v>0</v>
      </c>
      <c r="X4" s="74">
        <v>0</v>
      </c>
      <c r="Y4" s="74">
        <v>27</v>
      </c>
      <c r="Z4" s="74">
        <v>0</v>
      </c>
      <c r="AA4" s="74">
        <v>0</v>
      </c>
      <c r="AB4" s="74">
        <v>1</v>
      </c>
      <c r="AC4" s="74">
        <v>0</v>
      </c>
      <c r="AD4" s="74">
        <v>0</v>
      </c>
      <c r="AE4" s="74">
        <v>0</v>
      </c>
      <c r="AF4" s="74">
        <v>0</v>
      </c>
      <c r="AG4" s="75">
        <f>SUM(Table5[[#This Row],[Polylobate epidermal short cell var A GRS25]:[Polylobate epidermal short cell var E GRS29]])</f>
        <v>1</v>
      </c>
      <c r="AH4" s="74">
        <v>0</v>
      </c>
      <c r="AI4" s="74">
        <v>4</v>
      </c>
      <c r="AJ4" s="74">
        <v>4</v>
      </c>
      <c r="AK4" s="74">
        <v>0</v>
      </c>
      <c r="AL4" s="74">
        <v>0</v>
      </c>
      <c r="AM4" s="74">
        <v>0</v>
      </c>
      <c r="AN4" s="74">
        <v>0</v>
      </c>
      <c r="AO4" s="74">
        <v>0</v>
      </c>
      <c r="AP4" s="75">
        <f>SUM(Table5[[#This Row],[Rondel short flat top GRS32]:[Rondel tall pyramidal ovate top GRS37]])</f>
        <v>4</v>
      </c>
      <c r="AQ4" s="74">
        <v>13</v>
      </c>
      <c r="AR4" s="74">
        <v>1</v>
      </c>
      <c r="AS4" s="74">
        <f>SUM(Table5[[#This Row],[Saddle epidermal short cell GRS38]:[Saddle short epidermal short cell GRS39]])</f>
        <v>14</v>
      </c>
      <c r="AT4" s="74">
        <v>0</v>
      </c>
      <c r="AU4" s="74">
        <v>0</v>
      </c>
      <c r="AV4" s="74">
        <v>0</v>
      </c>
      <c r="AW4" s="74">
        <v>2</v>
      </c>
      <c r="AX4" s="74">
        <v>0</v>
      </c>
      <c r="AY4" s="74">
        <v>0</v>
      </c>
      <c r="AZ4" s="74">
        <v>0</v>
      </c>
      <c r="BA4" s="74">
        <v>0</v>
      </c>
      <c r="BB4" s="74">
        <v>33</v>
      </c>
      <c r="BC4" s="74">
        <v>15</v>
      </c>
      <c r="BD4" s="74">
        <v>0</v>
      </c>
      <c r="BE4" s="74">
        <v>0</v>
      </c>
      <c r="BF4" s="74">
        <v>0</v>
      </c>
      <c r="BG4" s="74">
        <v>0</v>
      </c>
      <c r="BH4" s="74">
        <v>0</v>
      </c>
      <c r="BI4" s="74">
        <v>0</v>
      </c>
      <c r="BJ4" s="74">
        <v>0</v>
      </c>
      <c r="BK4" s="74">
        <v>0</v>
      </c>
      <c r="BL4" s="74">
        <v>24</v>
      </c>
      <c r="BM4" s="74">
        <v>0</v>
      </c>
      <c r="BN4" s="74">
        <v>0</v>
      </c>
      <c r="BO4" s="74">
        <v>0</v>
      </c>
      <c r="BP4" s="74">
        <v>0</v>
      </c>
      <c r="BQ4" s="74">
        <v>0</v>
      </c>
      <c r="BR4" s="54">
        <v>0</v>
      </c>
      <c r="BS4" s="74">
        <v>1</v>
      </c>
      <c r="BT4">
        <f t="shared" si="0"/>
        <v>260</v>
      </c>
      <c r="BU4">
        <f t="shared" si="1"/>
        <v>147</v>
      </c>
      <c r="BV4">
        <f t="shared" si="2"/>
        <v>51</v>
      </c>
      <c r="BW4" t="str">
        <f t="shared" si="3"/>
        <v>2.88235294117647:1</v>
      </c>
      <c r="BX4" s="83">
        <v>33</v>
      </c>
      <c r="BY4">
        <f t="shared" si="4"/>
        <v>65</v>
      </c>
      <c r="BZ4" s="80">
        <f t="shared" si="5"/>
        <v>0.50769230769230766</v>
      </c>
      <c r="CA4" s="80">
        <f>BX4/$BT$4</f>
        <v>0.12692307692307692</v>
      </c>
      <c r="CB4" s="80">
        <f>BY4/$BT$4</f>
        <v>0.25</v>
      </c>
    </row>
    <row r="5" spans="1:80" x14ac:dyDescent="0.2">
      <c r="A5" t="s">
        <v>593</v>
      </c>
      <c r="B5" s="74">
        <v>15</v>
      </c>
      <c r="C5" s="74">
        <v>16</v>
      </c>
      <c r="D5" s="74">
        <v>0</v>
      </c>
      <c r="E5" s="74">
        <v>0</v>
      </c>
      <c r="F5" s="74">
        <v>1</v>
      </c>
      <c r="G5" s="74">
        <v>0</v>
      </c>
      <c r="H5" s="74">
        <v>0</v>
      </c>
      <c r="I5" s="74">
        <v>0</v>
      </c>
      <c r="J5" s="74">
        <v>0</v>
      </c>
      <c r="K5" s="74">
        <v>0</v>
      </c>
      <c r="L5" s="74">
        <v>0</v>
      </c>
      <c r="M5" s="74">
        <v>0</v>
      </c>
      <c r="N5" s="75">
        <f>SUM(Table5[[#This Row],[Bilobate concave outer margin long shaft var A GRS2]:[Bilobate concave outer margin long shaft var H GRS11]])</f>
        <v>1</v>
      </c>
      <c r="O5" s="74">
        <v>5</v>
      </c>
      <c r="P5" s="74">
        <v>20</v>
      </c>
      <c r="Q5" s="74">
        <v>4</v>
      </c>
      <c r="R5" s="74">
        <v>0</v>
      </c>
      <c r="S5" s="74">
        <v>0</v>
      </c>
      <c r="T5" s="74">
        <v>0</v>
      </c>
      <c r="U5" s="74">
        <v>0</v>
      </c>
      <c r="V5" s="74">
        <v>0</v>
      </c>
      <c r="W5" s="74">
        <v>0</v>
      </c>
      <c r="X5" s="74">
        <v>0</v>
      </c>
      <c r="Y5" s="74">
        <v>14</v>
      </c>
      <c r="Z5" s="74">
        <v>0</v>
      </c>
      <c r="AA5" s="74">
        <v>0</v>
      </c>
      <c r="AB5" s="74">
        <v>0</v>
      </c>
      <c r="AC5" s="74">
        <v>0</v>
      </c>
      <c r="AD5" s="74">
        <v>0</v>
      </c>
      <c r="AE5" s="74">
        <v>0</v>
      </c>
      <c r="AF5" s="74">
        <v>0</v>
      </c>
      <c r="AG5" s="75">
        <f>SUM(Table5[[#This Row],[Polylobate epidermal short cell var A GRS25]:[Polylobate epidermal short cell var E GRS29]])</f>
        <v>0</v>
      </c>
      <c r="AH5" s="74">
        <v>0</v>
      </c>
      <c r="AI5" s="74">
        <v>2</v>
      </c>
      <c r="AJ5" s="74">
        <v>0</v>
      </c>
      <c r="AK5" s="74">
        <v>0</v>
      </c>
      <c r="AL5" s="74">
        <v>0</v>
      </c>
      <c r="AM5" s="74">
        <v>0</v>
      </c>
      <c r="AN5" s="74">
        <v>0</v>
      </c>
      <c r="AO5" s="74">
        <v>0</v>
      </c>
      <c r="AP5" s="75">
        <f>SUM(Table5[[#This Row],[Rondel short flat top GRS32]:[Rondel tall pyramidal ovate top GRS37]])</f>
        <v>0</v>
      </c>
      <c r="AQ5" s="74">
        <v>0</v>
      </c>
      <c r="AR5" s="74">
        <v>0</v>
      </c>
      <c r="AS5" s="74">
        <f>SUM(Table5[[#This Row],[Saddle epidermal short cell GRS38]:[Saddle short epidermal short cell GRS39]])</f>
        <v>0</v>
      </c>
      <c r="AT5" s="74">
        <v>0</v>
      </c>
      <c r="AU5" s="74">
        <v>0</v>
      </c>
      <c r="AV5" s="74">
        <v>0</v>
      </c>
      <c r="AW5" s="74">
        <v>0</v>
      </c>
      <c r="AX5" s="74">
        <v>0</v>
      </c>
      <c r="AY5" s="74">
        <v>0</v>
      </c>
      <c r="AZ5" s="74">
        <v>20</v>
      </c>
      <c r="BA5" s="74">
        <v>0</v>
      </c>
      <c r="BB5" s="74">
        <v>1</v>
      </c>
      <c r="BC5" s="74">
        <v>8</v>
      </c>
      <c r="BD5" s="74">
        <v>0</v>
      </c>
      <c r="BE5" s="74">
        <v>0</v>
      </c>
      <c r="BF5" s="74">
        <v>0</v>
      </c>
      <c r="BG5" s="74">
        <v>0</v>
      </c>
      <c r="BH5" s="74">
        <v>0</v>
      </c>
      <c r="BI5" s="74">
        <v>0</v>
      </c>
      <c r="BJ5" s="74">
        <v>1</v>
      </c>
      <c r="BK5" s="74">
        <v>0</v>
      </c>
      <c r="BL5" s="74">
        <v>27</v>
      </c>
      <c r="BM5" s="74">
        <v>0</v>
      </c>
      <c r="BN5" s="74">
        <v>0</v>
      </c>
      <c r="BO5" s="74">
        <v>0</v>
      </c>
      <c r="BP5" s="74">
        <v>10</v>
      </c>
      <c r="BQ5" s="74">
        <v>0</v>
      </c>
      <c r="BR5" s="54">
        <v>0</v>
      </c>
      <c r="BS5" s="74">
        <v>11</v>
      </c>
      <c r="BT5">
        <f t="shared" si="0"/>
        <v>141</v>
      </c>
      <c r="BU5">
        <f t="shared" si="1"/>
        <v>62</v>
      </c>
      <c r="BV5">
        <f t="shared" si="2"/>
        <v>51</v>
      </c>
      <c r="BW5" t="str">
        <f t="shared" si="3"/>
        <v>1.2156862745098:1</v>
      </c>
      <c r="BX5" s="84">
        <v>1</v>
      </c>
      <c r="BY5">
        <f t="shared" si="4"/>
        <v>24</v>
      </c>
      <c r="BZ5" s="80">
        <f t="shared" si="5"/>
        <v>4.1666666666666664E-2</v>
      </c>
      <c r="CA5" s="80">
        <f>BX5/$BT$5</f>
        <v>7.0921985815602835E-3</v>
      </c>
      <c r="CB5" s="80">
        <f>BY5/$BT$5</f>
        <v>0.1702127659574468</v>
      </c>
    </row>
    <row r="6" spans="1:80" x14ac:dyDescent="0.2">
      <c r="A6" t="s">
        <v>594</v>
      </c>
      <c r="B6" s="74">
        <v>20</v>
      </c>
      <c r="C6" s="74">
        <v>6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5">
        <f>SUM(Table5[[#This Row],[Bilobate concave outer margin long shaft var A GRS2]:[Bilobate concave outer margin long shaft var H GRS11]])</f>
        <v>0</v>
      </c>
      <c r="O6" s="74">
        <v>4</v>
      </c>
      <c r="P6" s="74">
        <v>3</v>
      </c>
      <c r="Q6" s="74">
        <v>1</v>
      </c>
      <c r="R6" s="74">
        <v>0</v>
      </c>
      <c r="S6" s="74">
        <v>0</v>
      </c>
      <c r="T6" s="74">
        <v>0</v>
      </c>
      <c r="U6" s="74">
        <v>0</v>
      </c>
      <c r="V6" s="74">
        <v>0</v>
      </c>
      <c r="W6" s="74">
        <v>0</v>
      </c>
      <c r="X6" s="74">
        <v>0</v>
      </c>
      <c r="Y6" s="74">
        <v>7</v>
      </c>
      <c r="Z6" s="74">
        <v>0</v>
      </c>
      <c r="AA6" s="74">
        <v>0</v>
      </c>
      <c r="AB6" s="74">
        <v>0</v>
      </c>
      <c r="AC6" s="74">
        <v>0</v>
      </c>
      <c r="AD6" s="74">
        <v>0</v>
      </c>
      <c r="AE6" s="74">
        <v>0</v>
      </c>
      <c r="AF6" s="74">
        <v>0</v>
      </c>
      <c r="AG6" s="75">
        <f>SUM(Table5[[#This Row],[Polylobate epidermal short cell var A GRS25]:[Polylobate epidermal short cell var E GRS29]])</f>
        <v>0</v>
      </c>
      <c r="AH6" s="74">
        <v>0</v>
      </c>
      <c r="AI6" s="74">
        <v>0</v>
      </c>
      <c r="AJ6" s="74">
        <v>0</v>
      </c>
      <c r="AK6" s="74">
        <v>0</v>
      </c>
      <c r="AL6" s="74">
        <v>0</v>
      </c>
      <c r="AM6" s="74">
        <v>0</v>
      </c>
      <c r="AN6" s="74">
        <v>0</v>
      </c>
      <c r="AO6" s="74">
        <v>0</v>
      </c>
      <c r="AP6" s="75">
        <f>SUM(Table5[[#This Row],[Rondel short flat top GRS32]:[Rondel tall pyramidal ovate top GRS37]])</f>
        <v>0</v>
      </c>
      <c r="AQ6" s="74">
        <v>0</v>
      </c>
      <c r="AR6" s="74">
        <v>0</v>
      </c>
      <c r="AS6" s="74">
        <f>SUM(Table5[[#This Row],[Saddle epidermal short cell GRS38]:[Saddle short epidermal short cell GRS39]])</f>
        <v>0</v>
      </c>
      <c r="AT6" s="74">
        <v>0</v>
      </c>
      <c r="AU6" s="74">
        <v>0</v>
      </c>
      <c r="AV6" s="74">
        <v>0</v>
      </c>
      <c r="AW6" s="74">
        <v>0</v>
      </c>
      <c r="AX6" s="74">
        <v>0</v>
      </c>
      <c r="AY6" s="74">
        <v>0</v>
      </c>
      <c r="AZ6" s="74">
        <v>22</v>
      </c>
      <c r="BA6" s="74">
        <v>0</v>
      </c>
      <c r="BB6" s="74">
        <v>8</v>
      </c>
      <c r="BC6" s="74">
        <v>8</v>
      </c>
      <c r="BD6" s="74">
        <v>0</v>
      </c>
      <c r="BE6" s="74">
        <v>0</v>
      </c>
      <c r="BF6" s="74">
        <v>0</v>
      </c>
      <c r="BG6" s="74">
        <v>0</v>
      </c>
      <c r="BH6" s="74">
        <v>0</v>
      </c>
      <c r="BI6" s="74">
        <v>0</v>
      </c>
      <c r="BJ6" s="74">
        <v>0</v>
      </c>
      <c r="BK6" s="74">
        <v>0</v>
      </c>
      <c r="BL6" s="74">
        <v>14</v>
      </c>
      <c r="BM6" s="74">
        <v>0</v>
      </c>
      <c r="BN6" s="74">
        <v>0</v>
      </c>
      <c r="BO6" s="74">
        <v>0</v>
      </c>
      <c r="BP6" s="74">
        <v>9</v>
      </c>
      <c r="BQ6" s="74">
        <v>0</v>
      </c>
      <c r="BR6" s="54">
        <v>0</v>
      </c>
      <c r="BS6" s="74">
        <v>9</v>
      </c>
      <c r="BT6">
        <f t="shared" si="0"/>
        <v>91</v>
      </c>
      <c r="BU6">
        <f t="shared" si="1"/>
        <v>21</v>
      </c>
      <c r="BV6">
        <f t="shared" si="2"/>
        <v>56</v>
      </c>
      <c r="BW6" t="str">
        <f t="shared" si="3"/>
        <v>0.375:1</v>
      </c>
      <c r="BX6" s="83">
        <v>8</v>
      </c>
      <c r="BY6">
        <f t="shared" si="4"/>
        <v>10</v>
      </c>
      <c r="BZ6" s="80">
        <f t="shared" si="5"/>
        <v>0.8</v>
      </c>
      <c r="CA6" s="80">
        <f>BX6/$BT$6</f>
        <v>8.7912087912087919E-2</v>
      </c>
      <c r="CB6" s="80">
        <f>BY6/$BT$6</f>
        <v>0.10989010989010989</v>
      </c>
    </row>
    <row r="7" spans="1:80" x14ac:dyDescent="0.2">
      <c r="A7" t="s">
        <v>595</v>
      </c>
      <c r="B7" s="74">
        <v>25</v>
      </c>
      <c r="C7" s="74">
        <v>4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5">
        <f>SUM(Table5[[#This Row],[Bilobate concave outer margin long shaft var A GRS2]:[Bilobate concave outer margin long shaft var H GRS11]])</f>
        <v>0</v>
      </c>
      <c r="O7" s="74">
        <v>2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89">
        <v>24</v>
      </c>
      <c r="Z7" s="74">
        <v>0</v>
      </c>
      <c r="AA7" s="74">
        <v>0</v>
      </c>
      <c r="AB7" s="74">
        <v>0</v>
      </c>
      <c r="AC7" s="74">
        <v>0</v>
      </c>
      <c r="AD7" s="74">
        <v>0</v>
      </c>
      <c r="AE7" s="74">
        <v>0</v>
      </c>
      <c r="AF7" s="74">
        <v>0</v>
      </c>
      <c r="AG7" s="75">
        <f>SUM(Table5[[#This Row],[Polylobate epidermal short cell var A GRS25]:[Polylobate epidermal short cell var E GRS29]])</f>
        <v>0</v>
      </c>
      <c r="AH7" s="74">
        <v>0</v>
      </c>
      <c r="AI7" s="74">
        <v>0</v>
      </c>
      <c r="AJ7" s="74">
        <v>0</v>
      </c>
      <c r="AK7" s="74">
        <v>0</v>
      </c>
      <c r="AL7" s="74">
        <v>0</v>
      </c>
      <c r="AM7" s="74">
        <v>0</v>
      </c>
      <c r="AN7" s="74">
        <v>0</v>
      </c>
      <c r="AO7" s="74">
        <v>0</v>
      </c>
      <c r="AP7" s="75">
        <f>SUM(Table5[[#This Row],[Rondel short flat top GRS32]:[Rondel tall pyramidal ovate top GRS37]])</f>
        <v>0</v>
      </c>
      <c r="AQ7" s="74">
        <v>0</v>
      </c>
      <c r="AR7" s="74">
        <v>0</v>
      </c>
      <c r="AS7" s="74">
        <f>SUM(Table5[[#This Row],[Saddle epidermal short cell GRS38]:[Saddle short epidermal short cell GRS39]])</f>
        <v>0</v>
      </c>
      <c r="AT7" s="74">
        <v>0</v>
      </c>
      <c r="AU7" s="74">
        <v>0</v>
      </c>
      <c r="AV7" s="74">
        <v>0</v>
      </c>
      <c r="AW7" s="74">
        <v>0</v>
      </c>
      <c r="AX7" s="74">
        <v>0</v>
      </c>
      <c r="AY7" s="74">
        <v>0</v>
      </c>
      <c r="AZ7" s="74">
        <v>7</v>
      </c>
      <c r="BA7" s="74">
        <v>0</v>
      </c>
      <c r="BB7" s="74">
        <v>2</v>
      </c>
      <c r="BC7" s="74">
        <v>8</v>
      </c>
      <c r="BD7" s="74">
        <v>0</v>
      </c>
      <c r="BE7" s="74">
        <v>0</v>
      </c>
      <c r="BF7" s="74">
        <v>0</v>
      </c>
      <c r="BG7" s="74">
        <v>0</v>
      </c>
      <c r="BH7" s="74">
        <v>0</v>
      </c>
      <c r="BI7" s="74">
        <v>0</v>
      </c>
      <c r="BJ7" s="74">
        <v>0</v>
      </c>
      <c r="BK7" s="74">
        <v>0</v>
      </c>
      <c r="BL7" s="74">
        <v>36</v>
      </c>
      <c r="BM7" s="74">
        <v>0</v>
      </c>
      <c r="BN7" s="74">
        <v>0</v>
      </c>
      <c r="BO7" s="74">
        <v>0</v>
      </c>
      <c r="BP7" s="74">
        <v>7</v>
      </c>
      <c r="BQ7" s="74">
        <v>0</v>
      </c>
      <c r="BR7" s="54">
        <v>0</v>
      </c>
      <c r="BS7" s="74">
        <v>19</v>
      </c>
      <c r="BT7">
        <f t="shared" si="0"/>
        <v>109</v>
      </c>
      <c r="BU7">
        <f t="shared" si="1"/>
        <v>30</v>
      </c>
      <c r="BV7">
        <f t="shared" si="2"/>
        <v>43</v>
      </c>
      <c r="BW7" t="str">
        <f t="shared" si="3"/>
        <v>0.697674418604651:1</v>
      </c>
      <c r="BX7" s="84">
        <v>2</v>
      </c>
      <c r="BY7">
        <f t="shared" si="4"/>
        <v>6</v>
      </c>
      <c r="BZ7" s="80">
        <f t="shared" si="5"/>
        <v>0.33333333333333331</v>
      </c>
      <c r="CA7" s="80">
        <f>BX7/$BT$7</f>
        <v>1.834862385321101E-2</v>
      </c>
      <c r="CB7" s="80">
        <f>BY7/$BT$7</f>
        <v>5.5045871559633031E-2</v>
      </c>
    </row>
    <row r="8" spans="1:80" x14ac:dyDescent="0.2">
      <c r="A8" t="s">
        <v>596</v>
      </c>
      <c r="B8" s="74">
        <v>30</v>
      </c>
      <c r="C8" s="74">
        <v>3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5">
        <f>SUM(Table5[[#This Row],[Bilobate concave outer margin long shaft var A GRS2]:[Bilobate concave outer margin long shaft var H GRS11]])</f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2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5">
        <f>SUM(Table5[[#This Row],[Polylobate epidermal short cell var A GRS25]:[Polylobate epidermal short cell var E GRS29]])</f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4">
        <v>0</v>
      </c>
      <c r="AN8" s="74">
        <v>0</v>
      </c>
      <c r="AO8" s="74">
        <v>0</v>
      </c>
      <c r="AP8" s="75">
        <f>SUM(Table5[[#This Row],[Rondel short flat top GRS32]:[Rondel tall pyramidal ovate top GRS37]])</f>
        <v>0</v>
      </c>
      <c r="AQ8" s="74">
        <v>0</v>
      </c>
      <c r="AR8" s="74">
        <v>0</v>
      </c>
      <c r="AS8" s="74">
        <f>SUM(Table5[[#This Row],[Saddle epidermal short cell GRS38]:[Saddle short epidermal short cell GRS39]])</f>
        <v>0</v>
      </c>
      <c r="AT8" s="74">
        <v>0</v>
      </c>
      <c r="AU8" s="74">
        <v>0</v>
      </c>
      <c r="AV8" s="74">
        <v>0</v>
      </c>
      <c r="AW8" s="74">
        <v>0</v>
      </c>
      <c r="AX8" s="74">
        <v>0</v>
      </c>
      <c r="AY8" s="74">
        <v>0</v>
      </c>
      <c r="AZ8" s="74">
        <v>0</v>
      </c>
      <c r="BA8" s="74">
        <v>0</v>
      </c>
      <c r="BB8" s="74">
        <v>6</v>
      </c>
      <c r="BC8" s="74">
        <v>4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0</v>
      </c>
      <c r="BJ8" s="74">
        <v>0</v>
      </c>
      <c r="BK8" s="74">
        <v>0</v>
      </c>
      <c r="BL8" s="90">
        <v>13</v>
      </c>
      <c r="BM8" s="74">
        <v>0</v>
      </c>
      <c r="BN8" s="74">
        <v>0</v>
      </c>
      <c r="BO8" s="74">
        <v>0</v>
      </c>
      <c r="BP8" s="74">
        <v>0</v>
      </c>
      <c r="BQ8" s="74">
        <v>0</v>
      </c>
      <c r="BR8" s="54">
        <v>0</v>
      </c>
      <c r="BS8" s="74">
        <v>8</v>
      </c>
      <c r="BT8">
        <f t="shared" si="0"/>
        <v>36</v>
      </c>
      <c r="BU8">
        <f t="shared" si="1"/>
        <v>5</v>
      </c>
      <c r="BV8">
        <f t="shared" si="2"/>
        <v>18</v>
      </c>
      <c r="BW8" t="str">
        <f t="shared" si="3"/>
        <v>0.277777777777778:1</v>
      </c>
      <c r="BX8" s="83">
        <v>6</v>
      </c>
      <c r="BY8">
        <f t="shared" si="4"/>
        <v>3</v>
      </c>
      <c r="BZ8" s="80">
        <f t="shared" si="5"/>
        <v>2</v>
      </c>
      <c r="CA8" s="80">
        <f>BX8/$BT$8</f>
        <v>0.16666666666666666</v>
      </c>
      <c r="CB8" s="80">
        <f>BY8/$BT$8</f>
        <v>8.3333333333333329E-2</v>
      </c>
    </row>
    <row r="9" spans="1:80" x14ac:dyDescent="0.2">
      <c r="A9" t="s">
        <v>597</v>
      </c>
      <c r="B9" s="74">
        <v>35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5">
        <f>SUM(Table5[[#This Row],[Bilobate concave outer margin long shaft var A GRS2]:[Bilobate concave outer margin long shaft var H GRS11]])</f>
        <v>0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2</v>
      </c>
      <c r="Z9" s="74">
        <v>0</v>
      </c>
      <c r="AA9" s="74">
        <v>0</v>
      </c>
      <c r="AB9" s="74">
        <v>0</v>
      </c>
      <c r="AC9" s="74">
        <v>0</v>
      </c>
      <c r="AD9" s="74">
        <v>0</v>
      </c>
      <c r="AE9" s="74">
        <v>0</v>
      </c>
      <c r="AF9" s="74">
        <v>0</v>
      </c>
      <c r="AG9" s="75">
        <f>SUM(Table5[[#This Row],[Polylobate epidermal short cell var A GRS25]:[Polylobate epidermal short cell var E GRS29]])</f>
        <v>0</v>
      </c>
      <c r="AH9" s="74">
        <v>0</v>
      </c>
      <c r="AI9" s="74">
        <v>0</v>
      </c>
      <c r="AJ9" s="74">
        <v>0</v>
      </c>
      <c r="AK9" s="74">
        <v>0</v>
      </c>
      <c r="AL9" s="74">
        <v>0</v>
      </c>
      <c r="AM9" s="74">
        <v>0</v>
      </c>
      <c r="AN9" s="74">
        <v>0</v>
      </c>
      <c r="AO9" s="74">
        <v>0</v>
      </c>
      <c r="AP9" s="75">
        <f>SUM(Table5[[#This Row],[Rondel short flat top GRS32]:[Rondel tall pyramidal ovate top GRS37]])</f>
        <v>0</v>
      </c>
      <c r="AQ9" s="74">
        <v>0</v>
      </c>
      <c r="AR9" s="74">
        <v>0</v>
      </c>
      <c r="AS9" s="74">
        <f>SUM(Table5[[#This Row],[Saddle epidermal short cell GRS38]:[Saddle short epidermal short cell GRS39]])</f>
        <v>0</v>
      </c>
      <c r="AT9" s="74">
        <v>0</v>
      </c>
      <c r="AU9" s="74">
        <v>0</v>
      </c>
      <c r="AV9" s="74">
        <v>0</v>
      </c>
      <c r="AW9" s="74">
        <v>0</v>
      </c>
      <c r="AX9" s="74">
        <v>0</v>
      </c>
      <c r="AY9" s="74">
        <v>0</v>
      </c>
      <c r="AZ9" s="74">
        <v>0</v>
      </c>
      <c r="BA9" s="74">
        <v>0</v>
      </c>
      <c r="BB9" s="74">
        <v>17</v>
      </c>
      <c r="BC9" s="74">
        <v>2</v>
      </c>
      <c r="BD9" s="74">
        <v>0</v>
      </c>
      <c r="BE9" s="74">
        <v>0</v>
      </c>
      <c r="BF9" s="74">
        <v>0</v>
      </c>
      <c r="BG9" s="74">
        <v>0</v>
      </c>
      <c r="BH9" s="74">
        <v>0</v>
      </c>
      <c r="BI9" s="74">
        <v>0</v>
      </c>
      <c r="BJ9" s="74">
        <v>0</v>
      </c>
      <c r="BK9" s="74">
        <v>0</v>
      </c>
      <c r="BL9" s="74">
        <v>18</v>
      </c>
      <c r="BM9" s="74">
        <v>0</v>
      </c>
      <c r="BN9" s="74">
        <v>0</v>
      </c>
      <c r="BO9" s="74">
        <v>0</v>
      </c>
      <c r="BP9" s="74">
        <v>0</v>
      </c>
      <c r="BQ9" s="74">
        <v>0</v>
      </c>
      <c r="BR9" s="54">
        <v>0</v>
      </c>
      <c r="BS9" s="74">
        <v>8</v>
      </c>
      <c r="BT9">
        <f t="shared" si="0"/>
        <v>47</v>
      </c>
      <c r="BU9">
        <f t="shared" si="1"/>
        <v>2</v>
      </c>
      <c r="BV9">
        <f t="shared" si="2"/>
        <v>27</v>
      </c>
      <c r="BW9" t="str">
        <f t="shared" si="3"/>
        <v>0.0740740740740741:1</v>
      </c>
      <c r="BX9" s="84">
        <v>17</v>
      </c>
      <c r="BY9">
        <v>1</v>
      </c>
      <c r="BZ9" s="80">
        <f t="shared" si="5"/>
        <v>17</v>
      </c>
      <c r="CA9" s="80">
        <f>BX9/$BT$9</f>
        <v>0.36170212765957449</v>
      </c>
      <c r="CB9" s="80">
        <f>BY9/$BT$9</f>
        <v>2.1276595744680851E-2</v>
      </c>
    </row>
    <row r="10" spans="1:80" x14ac:dyDescent="0.2">
      <c r="A10" t="s">
        <v>598</v>
      </c>
      <c r="B10" s="74">
        <v>40</v>
      </c>
      <c r="C10" s="74">
        <v>4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5">
        <f>SUM(Table5[[#This Row],[Bilobate concave outer margin long shaft var A GRS2]:[Bilobate concave outer margin long shaft var H GRS11]])</f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4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5">
        <f>SUM(Table5[[#This Row],[Polylobate epidermal short cell var A GRS25]:[Polylobate epidermal short cell var E GRS29]])</f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0</v>
      </c>
      <c r="AM10" s="74">
        <v>0</v>
      </c>
      <c r="AN10" s="74">
        <v>0</v>
      </c>
      <c r="AO10" s="74">
        <v>0</v>
      </c>
      <c r="AP10" s="75">
        <f>SUM(Table5[[#This Row],[Rondel short flat top GRS32]:[Rondel tall pyramidal ovate top GRS37]])</f>
        <v>0</v>
      </c>
      <c r="AQ10" s="74">
        <v>0</v>
      </c>
      <c r="AR10" s="74">
        <v>0</v>
      </c>
      <c r="AS10" s="74">
        <f>SUM(Table5[[#This Row],[Saddle epidermal short cell GRS38]:[Saddle short epidermal short cell GRS39]])</f>
        <v>0</v>
      </c>
      <c r="AT10" s="74">
        <v>0</v>
      </c>
      <c r="AU10" s="74">
        <v>0</v>
      </c>
      <c r="AV10" s="74">
        <v>0</v>
      </c>
      <c r="AW10" s="74">
        <v>0</v>
      </c>
      <c r="AX10" s="74">
        <v>0</v>
      </c>
      <c r="AY10" s="74">
        <v>0</v>
      </c>
      <c r="AZ10" s="74">
        <v>0</v>
      </c>
      <c r="BA10" s="74">
        <v>0</v>
      </c>
      <c r="BB10" s="74">
        <v>40</v>
      </c>
      <c r="BC10" s="74">
        <v>15</v>
      </c>
      <c r="BD10" s="74">
        <v>0</v>
      </c>
      <c r="BE10" s="74">
        <v>0</v>
      </c>
      <c r="BF10" s="74">
        <v>0</v>
      </c>
      <c r="BG10" s="74">
        <v>0</v>
      </c>
      <c r="BH10" s="74">
        <v>0</v>
      </c>
      <c r="BI10" s="74">
        <v>0</v>
      </c>
      <c r="BJ10" s="74">
        <v>0</v>
      </c>
      <c r="BK10" s="74">
        <v>0</v>
      </c>
      <c r="BL10" s="74">
        <v>6</v>
      </c>
      <c r="BM10" s="74">
        <v>0</v>
      </c>
      <c r="BN10" s="74">
        <v>0</v>
      </c>
      <c r="BO10" s="74">
        <v>0</v>
      </c>
      <c r="BP10" s="74">
        <v>0</v>
      </c>
      <c r="BQ10" s="74">
        <v>0</v>
      </c>
      <c r="BR10" s="54">
        <v>0</v>
      </c>
      <c r="BS10" s="74">
        <v>8</v>
      </c>
      <c r="BT10">
        <f t="shared" si="0"/>
        <v>77</v>
      </c>
      <c r="BU10">
        <f t="shared" si="1"/>
        <v>8</v>
      </c>
      <c r="BV10">
        <f t="shared" si="2"/>
        <v>63</v>
      </c>
      <c r="BW10" t="str">
        <f t="shared" si="3"/>
        <v>0.126984126984127:1</v>
      </c>
      <c r="BX10" s="83">
        <v>40</v>
      </c>
      <c r="BY10">
        <f t="shared" si="4"/>
        <v>4</v>
      </c>
      <c r="BZ10" s="80">
        <f t="shared" si="5"/>
        <v>10</v>
      </c>
      <c r="CA10" s="80">
        <f>BX10/$BT$10</f>
        <v>0.51948051948051943</v>
      </c>
      <c r="CB10" s="80">
        <f>BY10/$BT$10</f>
        <v>5.1948051948051951E-2</v>
      </c>
    </row>
    <row r="11" spans="1:80" x14ac:dyDescent="0.2">
      <c r="A11" t="s">
        <v>599</v>
      </c>
      <c r="B11" s="74">
        <v>45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5">
        <f>SUM(Table5[[#This Row],[Bilobate concave outer margin long shaft var A GRS2]:[Bilobate concave outer margin long shaft var H GRS11]])</f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5">
        <f>SUM(Table5[[#This Row],[Polylobate epidermal short cell var A GRS25]:[Polylobate epidermal short cell var E GRS29]])</f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4">
        <v>0</v>
      </c>
      <c r="AP11" s="75">
        <f>SUM(Table5[[#This Row],[Rondel short flat top GRS32]:[Rondel tall pyramidal ovate top GRS37]])</f>
        <v>0</v>
      </c>
      <c r="AQ11" s="74">
        <v>0</v>
      </c>
      <c r="AR11" s="74">
        <v>0</v>
      </c>
      <c r="AS11" s="74">
        <f>SUM(Table5[[#This Row],[Saddle epidermal short cell GRS38]:[Saddle short epidermal short cell GRS39]])</f>
        <v>0</v>
      </c>
      <c r="AT11" s="74">
        <v>0</v>
      </c>
      <c r="AU11" s="74">
        <v>0</v>
      </c>
      <c r="AV11" s="74">
        <v>0</v>
      </c>
      <c r="AW11" s="74">
        <v>0</v>
      </c>
      <c r="AX11" s="74">
        <v>0</v>
      </c>
      <c r="AY11" s="74">
        <v>0</v>
      </c>
      <c r="AZ11" s="74">
        <v>0</v>
      </c>
      <c r="BA11" s="74">
        <v>0</v>
      </c>
      <c r="BB11" s="74">
        <v>57</v>
      </c>
      <c r="BC11" s="74">
        <v>15</v>
      </c>
      <c r="BD11" s="74">
        <v>0</v>
      </c>
      <c r="BE11" s="74">
        <v>0</v>
      </c>
      <c r="BF11" s="74">
        <v>0</v>
      </c>
      <c r="BG11" s="74">
        <v>0</v>
      </c>
      <c r="BH11" s="74">
        <v>0</v>
      </c>
      <c r="BI11" s="74">
        <v>0</v>
      </c>
      <c r="BJ11" s="74">
        <v>0</v>
      </c>
      <c r="BK11" s="74">
        <v>0</v>
      </c>
      <c r="BL11" s="74">
        <v>4</v>
      </c>
      <c r="BM11" s="74">
        <v>0</v>
      </c>
      <c r="BN11" s="74">
        <v>0</v>
      </c>
      <c r="BO11" s="74">
        <v>0</v>
      </c>
      <c r="BP11" s="74">
        <v>0</v>
      </c>
      <c r="BQ11" s="74">
        <v>0</v>
      </c>
      <c r="BR11" s="54">
        <v>0</v>
      </c>
      <c r="BS11" s="74">
        <v>3</v>
      </c>
      <c r="BT11">
        <f t="shared" si="0"/>
        <v>79</v>
      </c>
      <c r="BU11">
        <v>0</v>
      </c>
      <c r="BV11">
        <f t="shared" si="2"/>
        <v>75</v>
      </c>
      <c r="BW11" t="str">
        <f t="shared" si="3"/>
        <v>0:1</v>
      </c>
      <c r="BX11" s="84">
        <v>57</v>
      </c>
      <c r="BY11">
        <v>1</v>
      </c>
      <c r="BZ11" s="80">
        <f t="shared" si="5"/>
        <v>57</v>
      </c>
      <c r="CA11" s="80">
        <f>BX11/$BT$11</f>
        <v>0.72151898734177211</v>
      </c>
      <c r="CB11" s="80">
        <f>BY11/$BT$11</f>
        <v>1.2658227848101266E-2</v>
      </c>
    </row>
    <row r="12" spans="1:80" x14ac:dyDescent="0.2">
      <c r="A12" t="s">
        <v>600</v>
      </c>
      <c r="B12" s="74">
        <v>50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f>SUM(Table5[[#This Row],[Bilobate concave outer margin long shaft var A GRS2]:[Bilobate concave outer margin long shaft var H GRS11]])</f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91">
        <v>4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5">
        <f>SUM(Table5[[#This Row],[Polylobate epidermal short cell var A GRS25]:[Polylobate epidermal short cell var E GRS29]])</f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5">
        <f>SUM(Table5[[#This Row],[Rondel short flat top GRS32]:[Rondel tall pyramidal ovate top GRS37]])</f>
        <v>0</v>
      </c>
      <c r="AQ12" s="74">
        <v>0</v>
      </c>
      <c r="AR12" s="74">
        <v>0</v>
      </c>
      <c r="AS12" s="74">
        <f>SUM(Table5[[#This Row],[Saddle epidermal short cell GRS38]:[Saddle short epidermal short cell GRS39]])</f>
        <v>0</v>
      </c>
      <c r="AT12" s="74">
        <v>0</v>
      </c>
      <c r="AU12" s="74">
        <v>0</v>
      </c>
      <c r="AV12" s="74">
        <v>0</v>
      </c>
      <c r="AW12" s="74">
        <v>0</v>
      </c>
      <c r="AX12" s="74">
        <v>0</v>
      </c>
      <c r="AY12" s="74">
        <v>0</v>
      </c>
      <c r="AZ12" s="74">
        <v>0</v>
      </c>
      <c r="BA12" s="74">
        <v>0</v>
      </c>
      <c r="BB12" s="74">
        <v>34</v>
      </c>
      <c r="BC12" s="74">
        <v>14</v>
      </c>
      <c r="BD12" s="74">
        <v>0</v>
      </c>
      <c r="BE12" s="74">
        <v>0</v>
      </c>
      <c r="BF12" s="74">
        <v>0</v>
      </c>
      <c r="BG12" s="74">
        <v>0</v>
      </c>
      <c r="BH12" s="74">
        <v>0</v>
      </c>
      <c r="BI12" s="74">
        <v>0</v>
      </c>
      <c r="BJ12" s="74">
        <v>0</v>
      </c>
      <c r="BK12" s="74">
        <v>0</v>
      </c>
      <c r="BL12" s="74">
        <v>9</v>
      </c>
      <c r="BM12" s="74">
        <v>0</v>
      </c>
      <c r="BN12" s="74">
        <v>0</v>
      </c>
      <c r="BO12" s="74">
        <v>0</v>
      </c>
      <c r="BP12" s="74">
        <v>0</v>
      </c>
      <c r="BQ12" s="74">
        <v>0</v>
      </c>
      <c r="BR12" s="54">
        <v>0</v>
      </c>
      <c r="BS12" s="74">
        <v>5</v>
      </c>
      <c r="BT12">
        <f t="shared" si="0"/>
        <v>66</v>
      </c>
      <c r="BU12">
        <f t="shared" si="1"/>
        <v>4</v>
      </c>
      <c r="BV12">
        <f t="shared" si="2"/>
        <v>53</v>
      </c>
      <c r="BW12" t="str">
        <f t="shared" si="3"/>
        <v>0.0754716981132075:1</v>
      </c>
      <c r="BX12" s="83">
        <v>34</v>
      </c>
      <c r="BY12">
        <v>1</v>
      </c>
      <c r="BZ12" s="80">
        <f t="shared" si="5"/>
        <v>34</v>
      </c>
      <c r="CA12" s="80">
        <f>BX12/$BT$12</f>
        <v>0.51515151515151514</v>
      </c>
      <c r="CB12" s="80">
        <f>BY12/$BT$12</f>
        <v>1.5151515151515152E-2</v>
      </c>
    </row>
    <row r="13" spans="1:80" x14ac:dyDescent="0.2">
      <c r="A13" t="s">
        <v>601</v>
      </c>
      <c r="B13" s="74">
        <v>55</v>
      </c>
      <c r="C13" s="74">
        <v>1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f>SUM(Table5[[#This Row],[Bilobate concave outer margin long shaft var A GRS2]:[Bilobate concave outer margin long shaft var H GRS11]])</f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3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5">
        <f>SUM(Table5[[#This Row],[Polylobate epidermal short cell var A GRS25]:[Polylobate epidermal short cell var E GRS29]])</f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5">
        <f>SUM(Table5[[#This Row],[Rondel short flat top GRS32]:[Rondel tall pyramidal ovate top GRS37]])</f>
        <v>0</v>
      </c>
      <c r="AQ13" s="74">
        <v>0</v>
      </c>
      <c r="AR13" s="74">
        <v>0</v>
      </c>
      <c r="AS13" s="74">
        <f>SUM(Table5[[#This Row],[Saddle epidermal short cell GRS38]:[Saddle short epidermal short cell GRS39]])</f>
        <v>0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0</v>
      </c>
      <c r="BA13" s="74">
        <v>0</v>
      </c>
      <c r="BB13" s="74">
        <v>40</v>
      </c>
      <c r="BC13" s="74">
        <v>11</v>
      </c>
      <c r="BD13" s="74">
        <v>0</v>
      </c>
      <c r="BE13" s="74">
        <v>0</v>
      </c>
      <c r="BF13" s="74">
        <v>0</v>
      </c>
      <c r="BG13" s="74">
        <v>0</v>
      </c>
      <c r="BH13" s="74">
        <v>0</v>
      </c>
      <c r="BI13" s="74">
        <v>0</v>
      </c>
      <c r="BJ13" s="74">
        <v>0</v>
      </c>
      <c r="BK13" s="74">
        <v>0</v>
      </c>
      <c r="BL13" s="74">
        <v>5</v>
      </c>
      <c r="BM13" s="74">
        <v>0</v>
      </c>
      <c r="BN13" s="74">
        <v>0</v>
      </c>
      <c r="BO13" s="74">
        <v>0</v>
      </c>
      <c r="BP13" s="74">
        <v>0</v>
      </c>
      <c r="BQ13" s="74">
        <v>0</v>
      </c>
      <c r="BR13" s="54">
        <v>0</v>
      </c>
      <c r="BS13" s="74">
        <v>9</v>
      </c>
      <c r="BT13">
        <f t="shared" si="0"/>
        <v>69</v>
      </c>
      <c r="BU13">
        <f t="shared" si="1"/>
        <v>4</v>
      </c>
      <c r="BV13">
        <f t="shared" si="2"/>
        <v>60</v>
      </c>
      <c r="BW13" t="str">
        <f t="shared" si="3"/>
        <v>0.0666666666666667:1</v>
      </c>
      <c r="BX13" s="84">
        <v>40</v>
      </c>
      <c r="BY13">
        <f t="shared" si="4"/>
        <v>1</v>
      </c>
      <c r="BZ13" s="80">
        <f t="shared" si="5"/>
        <v>40</v>
      </c>
      <c r="CA13" s="80">
        <f>BX13/$BT$13</f>
        <v>0.57971014492753625</v>
      </c>
      <c r="CB13" s="80">
        <f>BY13/$BT$13</f>
        <v>1.4492753623188406E-2</v>
      </c>
    </row>
    <row r="14" spans="1:80" x14ac:dyDescent="0.2">
      <c r="A14" t="s">
        <v>602</v>
      </c>
      <c r="B14" s="92">
        <v>60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3">
        <f>SUM(Table5[[#This Row],[Bilobate concave outer margin long shaft var A GRS2]:[Bilobate concave outer margin long shaft var H GRS11]])</f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>
        <v>0</v>
      </c>
      <c r="AF14" s="92">
        <v>0</v>
      </c>
      <c r="AG14" s="93">
        <f>SUM(Table5[[#This Row],[Polylobate epidermal short cell var A GRS25]:[Polylobate epidermal short cell var E GRS29]])</f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0</v>
      </c>
      <c r="AO14" s="92">
        <v>0</v>
      </c>
      <c r="AP14" s="93">
        <f>SUM(Table5[[#This Row],[Rondel short flat top GRS32]:[Rondel tall pyramidal ovate top GRS37]])</f>
        <v>0</v>
      </c>
      <c r="AQ14" s="92">
        <v>0</v>
      </c>
      <c r="AR14" s="92">
        <v>0</v>
      </c>
      <c r="AS14" s="92">
        <f>SUM(Table5[[#This Row],[Saddle epidermal short cell GRS38]:[Saddle short epidermal short cell GRS39]])</f>
        <v>0</v>
      </c>
      <c r="AT14" s="92">
        <v>0</v>
      </c>
      <c r="AU14" s="92">
        <v>0</v>
      </c>
      <c r="AV14" s="92">
        <v>0</v>
      </c>
      <c r="AW14" s="92">
        <v>0</v>
      </c>
      <c r="AX14" s="92">
        <v>0</v>
      </c>
      <c r="AY14" s="92">
        <v>0</v>
      </c>
      <c r="AZ14" s="92">
        <v>0</v>
      </c>
      <c r="BA14" s="92">
        <v>0</v>
      </c>
      <c r="BB14" s="92">
        <v>30</v>
      </c>
      <c r="BC14" s="92">
        <v>15</v>
      </c>
      <c r="BD14" s="92">
        <v>0</v>
      </c>
      <c r="BE14" s="92">
        <v>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5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59">
        <v>3</v>
      </c>
      <c r="BS14" s="92">
        <v>3</v>
      </c>
      <c r="BT14">
        <f t="shared" si="0"/>
        <v>56</v>
      </c>
      <c r="BU14">
        <v>0</v>
      </c>
      <c r="BV14">
        <f t="shared" si="2"/>
        <v>51</v>
      </c>
      <c r="BW14" t="str">
        <f t="shared" si="3"/>
        <v>0:1</v>
      </c>
      <c r="BX14" s="83">
        <v>30</v>
      </c>
      <c r="BY14">
        <v>1</v>
      </c>
      <c r="BZ14" s="80">
        <f t="shared" si="5"/>
        <v>30</v>
      </c>
      <c r="CA14" s="80">
        <f>BX14/$BT$14</f>
        <v>0.5357142857142857</v>
      </c>
      <c r="CB14" s="80">
        <f>BY14/$BT$14</f>
        <v>1.7857142857142856E-2</v>
      </c>
    </row>
    <row r="15" spans="1:80" x14ac:dyDescent="0.2">
      <c r="C15">
        <f>SUM(C2:C14)</f>
        <v>89</v>
      </c>
      <c r="D15">
        <f t="shared" ref="D15:BR15" si="6">SUM(D2:D14)</f>
        <v>2</v>
      </c>
      <c r="E15">
        <f t="shared" si="6"/>
        <v>4</v>
      </c>
      <c r="F15">
        <f t="shared" si="6"/>
        <v>28</v>
      </c>
      <c r="G15">
        <f t="shared" si="6"/>
        <v>0</v>
      </c>
      <c r="H15">
        <f t="shared" si="6"/>
        <v>0</v>
      </c>
      <c r="I15">
        <f t="shared" si="6"/>
        <v>0</v>
      </c>
      <c r="J15">
        <f t="shared" si="6"/>
        <v>7</v>
      </c>
      <c r="K15">
        <f t="shared" si="6"/>
        <v>1</v>
      </c>
      <c r="L15">
        <f t="shared" si="6"/>
        <v>0</v>
      </c>
      <c r="M15">
        <f t="shared" si="6"/>
        <v>0</v>
      </c>
      <c r="N15" s="82">
        <f t="shared" si="6"/>
        <v>42</v>
      </c>
      <c r="O15">
        <f t="shared" si="6"/>
        <v>54</v>
      </c>
      <c r="P15">
        <f t="shared" si="6"/>
        <v>151</v>
      </c>
      <c r="Q15">
        <f t="shared" si="6"/>
        <v>59</v>
      </c>
      <c r="R15">
        <f t="shared" si="6"/>
        <v>0</v>
      </c>
      <c r="S15">
        <f t="shared" si="6"/>
        <v>0</v>
      </c>
      <c r="T15">
        <f t="shared" si="6"/>
        <v>0</v>
      </c>
      <c r="U15">
        <f t="shared" si="6"/>
        <v>0</v>
      </c>
      <c r="V15">
        <f t="shared" si="6"/>
        <v>0</v>
      </c>
      <c r="W15">
        <f t="shared" si="6"/>
        <v>0</v>
      </c>
      <c r="X15">
        <f t="shared" si="6"/>
        <v>7</v>
      </c>
      <c r="Y15">
        <f t="shared" si="6"/>
        <v>180</v>
      </c>
      <c r="Z15">
        <f t="shared" si="6"/>
        <v>0</v>
      </c>
      <c r="AA15">
        <f t="shared" si="6"/>
        <v>0</v>
      </c>
      <c r="AB15">
        <f t="shared" si="6"/>
        <v>3</v>
      </c>
      <c r="AC15">
        <f t="shared" si="6"/>
        <v>0</v>
      </c>
      <c r="AD15">
        <f t="shared" si="6"/>
        <v>0</v>
      </c>
      <c r="AE15">
        <f t="shared" si="6"/>
        <v>1</v>
      </c>
      <c r="AF15">
        <f t="shared" si="6"/>
        <v>0</v>
      </c>
      <c r="AG15">
        <f t="shared" si="6"/>
        <v>4</v>
      </c>
      <c r="AH15">
        <f t="shared" si="6"/>
        <v>0</v>
      </c>
      <c r="AI15">
        <f t="shared" si="6"/>
        <v>8</v>
      </c>
      <c r="AJ15">
        <f t="shared" si="6"/>
        <v>4</v>
      </c>
      <c r="AK15">
        <f t="shared" si="6"/>
        <v>0</v>
      </c>
      <c r="AL15">
        <f t="shared" si="6"/>
        <v>0</v>
      </c>
      <c r="AM15">
        <f t="shared" si="6"/>
        <v>1</v>
      </c>
      <c r="AN15">
        <f t="shared" si="6"/>
        <v>0</v>
      </c>
      <c r="AO15">
        <f t="shared" si="6"/>
        <v>1</v>
      </c>
      <c r="AP15" s="82">
        <f t="shared" si="6"/>
        <v>6</v>
      </c>
      <c r="AQ15">
        <f t="shared" si="6"/>
        <v>27</v>
      </c>
      <c r="AR15">
        <f t="shared" si="6"/>
        <v>1</v>
      </c>
      <c r="AS15">
        <f t="shared" si="6"/>
        <v>28</v>
      </c>
      <c r="AT15">
        <f t="shared" si="6"/>
        <v>0</v>
      </c>
      <c r="AU15">
        <f t="shared" si="6"/>
        <v>0</v>
      </c>
      <c r="AV15">
        <f t="shared" si="6"/>
        <v>0</v>
      </c>
      <c r="AW15">
        <f t="shared" si="6"/>
        <v>8</v>
      </c>
      <c r="AX15">
        <f t="shared" si="6"/>
        <v>1</v>
      </c>
      <c r="AY15">
        <f t="shared" si="6"/>
        <v>0</v>
      </c>
      <c r="AZ15">
        <f t="shared" si="6"/>
        <v>49</v>
      </c>
      <c r="BA15">
        <f t="shared" si="6"/>
        <v>0</v>
      </c>
      <c r="BB15">
        <f t="shared" si="6"/>
        <v>273</v>
      </c>
      <c r="BC15">
        <f t="shared" si="6"/>
        <v>119</v>
      </c>
      <c r="BD15">
        <f t="shared" si="6"/>
        <v>0</v>
      </c>
      <c r="BE15">
        <f t="shared" si="6"/>
        <v>0</v>
      </c>
      <c r="BF15">
        <f t="shared" si="6"/>
        <v>0</v>
      </c>
      <c r="BG15">
        <f t="shared" si="6"/>
        <v>0</v>
      </c>
      <c r="BH15">
        <f t="shared" si="6"/>
        <v>0</v>
      </c>
      <c r="BI15">
        <f t="shared" si="6"/>
        <v>0</v>
      </c>
      <c r="BJ15">
        <f t="shared" si="6"/>
        <v>5</v>
      </c>
      <c r="BK15">
        <f t="shared" si="6"/>
        <v>0</v>
      </c>
      <c r="BL15">
        <f t="shared" si="6"/>
        <v>265</v>
      </c>
      <c r="BM15">
        <f t="shared" si="6"/>
        <v>0</v>
      </c>
      <c r="BN15">
        <f t="shared" si="6"/>
        <v>0</v>
      </c>
      <c r="BO15">
        <f t="shared" si="6"/>
        <v>20</v>
      </c>
      <c r="BP15">
        <f t="shared" si="6"/>
        <v>88</v>
      </c>
      <c r="BQ15">
        <f t="shared" si="6"/>
        <v>0</v>
      </c>
      <c r="BR15">
        <f t="shared" si="6"/>
        <v>3</v>
      </c>
      <c r="BT15">
        <f>SUM(C15:BS15)</f>
        <v>1539</v>
      </c>
      <c r="BU15">
        <f t="shared" si="1"/>
        <v>628</v>
      </c>
      <c r="BV15">
        <f t="shared" si="2"/>
        <v>566</v>
      </c>
      <c r="BW15" t="str">
        <f t="shared" si="3"/>
        <v>1.1095406360424:1</v>
      </c>
      <c r="BX15">
        <f>SUM(BX2:BX14)</f>
        <v>273</v>
      </c>
      <c r="BY15">
        <f>SUM(BY2:BY14)</f>
        <v>235</v>
      </c>
    </row>
    <row r="16" spans="1:80" x14ac:dyDescent="0.2">
      <c r="N16" s="82"/>
      <c r="AG16" s="82"/>
      <c r="AP16" s="82"/>
    </row>
    <row r="17" spans="14:42" x14ac:dyDescent="0.2">
      <c r="N17" s="82"/>
      <c r="AG17" s="82"/>
      <c r="AP17" s="82"/>
    </row>
    <row r="18" spans="14:42" x14ac:dyDescent="0.2">
      <c r="N18" s="82"/>
      <c r="AG18" s="82"/>
      <c r="AP18" s="82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6"/>
  <sheetViews>
    <sheetView workbookViewId="0">
      <selection sqref="A1:A14"/>
    </sheetView>
  </sheetViews>
  <sheetFormatPr baseColWidth="10" defaultRowHeight="16" x14ac:dyDescent="0.2"/>
  <cols>
    <col min="1" max="1" width="20" bestFit="1" customWidth="1"/>
  </cols>
  <sheetData>
    <row r="1" spans="1:79" x14ac:dyDescent="0.2">
      <c r="A1" t="s">
        <v>484</v>
      </c>
      <c r="B1" t="s">
        <v>581</v>
      </c>
      <c r="C1" s="64" t="s">
        <v>486</v>
      </c>
      <c r="D1" s="64" t="s">
        <v>487</v>
      </c>
      <c r="E1" s="64" t="s">
        <v>488</v>
      </c>
      <c r="F1" s="64" t="s">
        <v>489</v>
      </c>
      <c r="G1" s="64" t="s">
        <v>490</v>
      </c>
      <c r="H1" s="64" t="s">
        <v>491</v>
      </c>
      <c r="I1" s="64" t="s">
        <v>492</v>
      </c>
      <c r="J1" s="64" t="s">
        <v>493</v>
      </c>
      <c r="K1" s="64" t="s">
        <v>494</v>
      </c>
      <c r="L1" s="64" t="s">
        <v>495</v>
      </c>
      <c r="M1" s="64" t="s">
        <v>496</v>
      </c>
      <c r="N1" s="85" t="s">
        <v>497</v>
      </c>
      <c r="O1" s="64" t="s">
        <v>498</v>
      </c>
      <c r="P1" s="64" t="s">
        <v>499</v>
      </c>
      <c r="Q1" s="64" t="s">
        <v>500</v>
      </c>
      <c r="R1" s="64" t="s">
        <v>501</v>
      </c>
      <c r="S1" s="64" t="s">
        <v>502</v>
      </c>
      <c r="T1" s="64" t="s">
        <v>432</v>
      </c>
      <c r="U1" s="64" t="s">
        <v>503</v>
      </c>
      <c r="V1" s="64" t="s">
        <v>504</v>
      </c>
      <c r="W1" s="64" t="s">
        <v>505</v>
      </c>
      <c r="X1" s="64" t="s">
        <v>506</v>
      </c>
      <c r="Y1" s="64" t="s">
        <v>507</v>
      </c>
      <c r="Z1" s="64" t="s">
        <v>508</v>
      </c>
      <c r="AA1" s="64" t="s">
        <v>509</v>
      </c>
      <c r="AB1" s="64" t="s">
        <v>510</v>
      </c>
      <c r="AC1" s="64" t="s">
        <v>511</v>
      </c>
      <c r="AD1" s="64" t="s">
        <v>512</v>
      </c>
      <c r="AE1" s="64" t="s">
        <v>513</v>
      </c>
      <c r="AF1" s="64" t="s">
        <v>514</v>
      </c>
      <c r="AG1" s="85" t="s">
        <v>515</v>
      </c>
      <c r="AH1" s="64" t="s">
        <v>516</v>
      </c>
      <c r="AI1" s="64" t="s">
        <v>517</v>
      </c>
      <c r="AJ1" s="64" t="s">
        <v>518</v>
      </c>
      <c r="AK1" s="64" t="s">
        <v>519</v>
      </c>
      <c r="AL1" s="64" t="s">
        <v>520</v>
      </c>
      <c r="AM1" s="64" t="s">
        <v>521</v>
      </c>
      <c r="AN1" s="64" t="s">
        <v>522</v>
      </c>
      <c r="AO1" s="67" t="s">
        <v>523</v>
      </c>
      <c r="AP1" s="66" t="s">
        <v>524</v>
      </c>
      <c r="AQ1" s="67" t="s">
        <v>525</v>
      </c>
      <c r="AR1" s="67" t="s">
        <v>526</v>
      </c>
      <c r="AS1" s="66" t="s">
        <v>527</v>
      </c>
      <c r="AT1" s="64" t="s">
        <v>528</v>
      </c>
      <c r="AU1" s="64" t="s">
        <v>529</v>
      </c>
      <c r="AV1" s="68" t="s">
        <v>531</v>
      </c>
      <c r="AW1" s="68" t="s">
        <v>532</v>
      </c>
      <c r="AX1" s="68" t="s">
        <v>533</v>
      </c>
      <c r="AY1" s="68" t="s">
        <v>534</v>
      </c>
      <c r="AZ1" s="68" t="s">
        <v>535</v>
      </c>
      <c r="BA1" s="68" t="s">
        <v>536</v>
      </c>
      <c r="BB1" s="68" t="s">
        <v>537</v>
      </c>
      <c r="BC1" s="68" t="s">
        <v>538</v>
      </c>
      <c r="BD1" s="68" t="s">
        <v>539</v>
      </c>
      <c r="BE1" s="68" t="s">
        <v>540</v>
      </c>
      <c r="BF1" s="68" t="s">
        <v>541</v>
      </c>
      <c r="BG1" s="68" t="s">
        <v>542</v>
      </c>
      <c r="BH1" s="68" t="s">
        <v>543</v>
      </c>
      <c r="BI1" s="68" t="s">
        <v>544</v>
      </c>
      <c r="BJ1" s="68" t="s">
        <v>545</v>
      </c>
      <c r="BK1" t="s">
        <v>546</v>
      </c>
      <c r="BL1" s="68" t="s">
        <v>585</v>
      </c>
      <c r="BM1" s="68" t="s">
        <v>548</v>
      </c>
      <c r="BN1" s="68" t="s">
        <v>549</v>
      </c>
      <c r="BO1" s="68" t="s">
        <v>550</v>
      </c>
      <c r="BP1" s="68" t="s">
        <v>551</v>
      </c>
      <c r="BQ1" s="68" t="s">
        <v>552</v>
      </c>
      <c r="BR1" s="69" t="s">
        <v>553</v>
      </c>
      <c r="BS1" t="s">
        <v>346</v>
      </c>
      <c r="BT1" t="s">
        <v>603</v>
      </c>
      <c r="BU1" t="s">
        <v>604</v>
      </c>
      <c r="BV1" t="s">
        <v>605</v>
      </c>
      <c r="BW1" t="s">
        <v>560</v>
      </c>
      <c r="BX1" t="s">
        <v>561</v>
      </c>
      <c r="BY1" t="s">
        <v>564</v>
      </c>
      <c r="BZ1" t="s">
        <v>565</v>
      </c>
      <c r="CA1" t="s">
        <v>566</v>
      </c>
    </row>
    <row r="2" spans="1:79" x14ac:dyDescent="0.2">
      <c r="A2" t="s">
        <v>606</v>
      </c>
      <c r="B2">
        <v>0</v>
      </c>
      <c r="C2">
        <v>7</v>
      </c>
      <c r="D2">
        <v>0</v>
      </c>
      <c r="E2">
        <v>0</v>
      </c>
      <c r="F2">
        <v>1</v>
      </c>
      <c r="G2">
        <v>0</v>
      </c>
      <c r="H2">
        <v>0</v>
      </c>
      <c r="I2">
        <v>0</v>
      </c>
      <c r="J2">
        <v>2</v>
      </c>
      <c r="K2">
        <v>0</v>
      </c>
      <c r="L2">
        <v>0</v>
      </c>
      <c r="M2">
        <v>0</v>
      </c>
      <c r="N2" s="82">
        <f>SUM(Table1[[#This Row],[Bilobate concave outer margin long shaft var A GRS2]:[Bilobate concave outer margin long shaft var H GRS11]])</f>
        <v>3</v>
      </c>
      <c r="O2">
        <v>1</v>
      </c>
      <c r="P2">
        <v>9</v>
      </c>
      <c r="Q2">
        <v>5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6</v>
      </c>
      <c r="Y2">
        <v>10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 s="82">
        <f>SUM(Table1[[#This Row],[Polylobate epidermal short cell var A GRS25]:[Polylobate epidermal short cell var E GRS29]])</f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</v>
      </c>
      <c r="AN2">
        <v>0</v>
      </c>
      <c r="AO2">
        <v>0</v>
      </c>
      <c r="AP2" s="82">
        <f>SUM(Table1[[#This Row],[Rondel short flat top GRS32]:[Rondel tall pyramidal ovate top GRS37]])</f>
        <v>1</v>
      </c>
      <c r="AQ2">
        <v>0</v>
      </c>
      <c r="AR2">
        <v>0</v>
      </c>
      <c r="AS2" s="82">
        <f>SUM(Table1[[#This Row],[Saddle epidermal short cell GRS38]:[Saddle short epidermal short cell GRS39]])</f>
        <v>0</v>
      </c>
      <c r="AT2">
        <v>0</v>
      </c>
      <c r="AU2">
        <v>0</v>
      </c>
      <c r="AV2">
        <v>0</v>
      </c>
      <c r="AW2">
        <v>0</v>
      </c>
      <c r="AX2">
        <v>1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f t="shared" ref="BS2:BS14" si="0">SUM(C2:BR2)</f>
        <v>47</v>
      </c>
      <c r="BT2">
        <f>SUM(C2:M2,O2:AF2,AH2:AO2,AQ2:AR2,AT2:AU2)</f>
        <v>42</v>
      </c>
      <c r="BU2">
        <f>SUM(Table1[[#This Row],[Carinate facetate FR1]:[Acicular hair cell FR23]])</f>
        <v>1</v>
      </c>
      <c r="BV2" t="str">
        <f>(BT2/BU2)&amp;":"&amp;(BU2/BU2)</f>
        <v>42:1</v>
      </c>
      <c r="BW2">
        <f>SUM(BB2,BL2)</f>
        <v>0</v>
      </c>
      <c r="BX2">
        <f>SUM(C2,N2,O2,AG2,AI2,AS2,AP2)</f>
        <v>12</v>
      </c>
      <c r="BY2" s="80">
        <f>BW2/BX2</f>
        <v>0</v>
      </c>
      <c r="BZ2" s="80" t="e">
        <f>BW2/$BR$2</f>
        <v>#DIV/0!</v>
      </c>
      <c r="CA2" s="80" t="e">
        <f>BX2/$BR$2</f>
        <v>#DIV/0!</v>
      </c>
    </row>
    <row r="3" spans="1:79" x14ac:dyDescent="0.2">
      <c r="A3" t="s">
        <v>607</v>
      </c>
      <c r="B3">
        <v>5</v>
      </c>
      <c r="C3">
        <v>12</v>
      </c>
      <c r="D3">
        <v>0</v>
      </c>
      <c r="E3">
        <v>0</v>
      </c>
      <c r="F3">
        <v>3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 s="82">
        <f>SUM(Table1[[#This Row],[Bilobate concave outer margin long shaft var A GRS2]:[Bilobate concave outer margin long shaft var H GRS11]])</f>
        <v>3</v>
      </c>
      <c r="O3">
        <v>0</v>
      </c>
      <c r="P3">
        <v>4</v>
      </c>
      <c r="Q3">
        <v>6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 s="82">
        <f>SUM(Table1[[#This Row],[Polylobate epidermal short cell var A GRS25]:[Polylobate epidermal short cell var E GRS29]])</f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 s="82">
        <f>SUM(Table1[[#This Row],[Rondel short flat top GRS32]:[Rondel tall pyramidal ovate top GRS37]])</f>
        <v>0</v>
      </c>
      <c r="AQ3">
        <v>0</v>
      </c>
      <c r="AR3">
        <v>10</v>
      </c>
      <c r="AS3" s="82">
        <f>SUM(Table1[[#This Row],[Saddle epidermal short cell GRS38]:[Saddle short epidermal short cell GRS39]])</f>
        <v>10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1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1</v>
      </c>
      <c r="BN3">
        <v>0</v>
      </c>
      <c r="BO3">
        <v>0</v>
      </c>
      <c r="BP3">
        <v>1</v>
      </c>
      <c r="BQ3">
        <v>0</v>
      </c>
      <c r="BR3">
        <v>0</v>
      </c>
      <c r="BS3">
        <f t="shared" si="0"/>
        <v>51</v>
      </c>
      <c r="BT3">
        <f t="shared" ref="BT3:BT16" si="1">SUM(C3:M3,O3:AF3,AH3:AO3,AQ3:AR3,AT3:AU3)</f>
        <v>35</v>
      </c>
      <c r="BU3">
        <f>SUM(Table1[[#This Row],[Carinate facetate FR1]:[Acicular hair cell FR23]])</f>
        <v>3</v>
      </c>
      <c r="BV3" t="str">
        <f t="shared" ref="BV3:BV16" si="2">(BT3/BU3)&amp;":"&amp;(BU3/BU3)</f>
        <v>11.6666666666667:1</v>
      </c>
      <c r="BW3">
        <f t="shared" ref="BW3:BW14" si="3">SUM(BB3,BL3)</f>
        <v>1</v>
      </c>
      <c r="BX3">
        <f t="shared" ref="BX3:BX14" si="4">SUM(C3,N3,O3,AG3,AI3,AS3,AP3)</f>
        <v>25</v>
      </c>
      <c r="BY3" s="80">
        <f t="shared" ref="BY3:BY14" si="5">BW3/BX3</f>
        <v>0.04</v>
      </c>
      <c r="BZ3" s="80" t="e">
        <f>BW3/$BR$3</f>
        <v>#DIV/0!</v>
      </c>
      <c r="CA3" s="80" t="e">
        <f>BX3/$BR$3</f>
        <v>#DIV/0!</v>
      </c>
    </row>
    <row r="4" spans="1:79" x14ac:dyDescent="0.2">
      <c r="A4" t="s">
        <v>608</v>
      </c>
      <c r="B4">
        <v>10</v>
      </c>
      <c r="C4">
        <v>4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 s="82">
        <f>SUM(Table1[[#This Row],[Bilobate concave outer margin long shaft var A GRS2]:[Bilobate concave outer margin long shaft var H GRS11]])</f>
        <v>0</v>
      </c>
      <c r="O4">
        <v>0</v>
      </c>
      <c r="P4">
        <v>9</v>
      </c>
      <c r="Q4">
        <v>16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12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 s="82">
        <f>SUM(Table1[[#This Row],[Polylobate epidermal short cell var A GRS25]:[Polylobate epidermal short cell var E GRS29]])</f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 s="82">
        <f>SUM(Table1[[#This Row],[Rondel short flat top GRS32]:[Rondel tall pyramidal ovate top GRS37]])</f>
        <v>0</v>
      </c>
      <c r="AQ4">
        <v>1</v>
      </c>
      <c r="AR4">
        <v>0</v>
      </c>
      <c r="AS4" s="82">
        <f>SUM(Table1[[#This Row],[Saddle epidermal short cell GRS38]:[Saddle short epidermal short cell GRS39]])</f>
        <v>1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1</v>
      </c>
      <c r="BM4">
        <v>0</v>
      </c>
      <c r="BN4">
        <v>0</v>
      </c>
      <c r="BO4">
        <v>0</v>
      </c>
      <c r="BP4">
        <v>7</v>
      </c>
      <c r="BQ4">
        <v>0</v>
      </c>
      <c r="BR4">
        <v>0</v>
      </c>
      <c r="BS4">
        <f t="shared" si="0"/>
        <v>51</v>
      </c>
      <c r="BT4">
        <f t="shared" si="1"/>
        <v>42</v>
      </c>
      <c r="BU4">
        <f>SUM(Table1[[#This Row],[Carinate facetate FR1]:[Acicular hair cell FR23]])</f>
        <v>8</v>
      </c>
      <c r="BV4" t="str">
        <f t="shared" si="2"/>
        <v>5.25:1</v>
      </c>
      <c r="BW4">
        <f t="shared" si="3"/>
        <v>1</v>
      </c>
      <c r="BX4">
        <f t="shared" si="4"/>
        <v>5</v>
      </c>
      <c r="BY4" s="80">
        <f t="shared" si="5"/>
        <v>0.2</v>
      </c>
      <c r="BZ4" s="80" t="e">
        <f>BW4/$BR$4</f>
        <v>#DIV/0!</v>
      </c>
      <c r="CA4" s="80" t="e">
        <f>BX4/$BR$4</f>
        <v>#DIV/0!</v>
      </c>
    </row>
    <row r="5" spans="1:79" x14ac:dyDescent="0.2">
      <c r="A5" t="s">
        <v>609</v>
      </c>
      <c r="B5">
        <v>15</v>
      </c>
      <c r="C5">
        <v>20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 s="82">
        <f>SUM(Table1[[#This Row],[Bilobate concave outer margin long shaft var A GRS2]:[Bilobate concave outer margin long shaft var H GRS11]])</f>
        <v>0</v>
      </c>
      <c r="O5">
        <v>0</v>
      </c>
      <c r="P5">
        <v>0</v>
      </c>
      <c r="Q5">
        <v>42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36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 s="82">
        <f>SUM(Table1[[#This Row],[Polylobate epidermal short cell var A GRS25]:[Polylobate epidermal short cell var E GRS29]])</f>
        <v>0</v>
      </c>
      <c r="AH5">
        <v>0</v>
      </c>
      <c r="AI5">
        <v>0</v>
      </c>
      <c r="AJ5">
        <v>1</v>
      </c>
      <c r="AK5">
        <v>0</v>
      </c>
      <c r="AL5">
        <v>0</v>
      </c>
      <c r="AM5">
        <v>0</v>
      </c>
      <c r="AN5">
        <v>0</v>
      </c>
      <c r="AO5">
        <v>0</v>
      </c>
      <c r="AP5" s="82">
        <f>SUM(Table1[[#This Row],[Rondel short flat top GRS32]:[Rondel tall pyramidal ovate top GRS37]])</f>
        <v>1</v>
      </c>
      <c r="AQ5">
        <v>0</v>
      </c>
      <c r="AR5">
        <v>0</v>
      </c>
      <c r="AS5" s="82">
        <f>SUM(Table1[[#This Row],[Saddle epidermal short cell GRS38]:[Saddle short epidermal short cell GRS39]])</f>
        <v>0</v>
      </c>
      <c r="AT5">
        <v>0</v>
      </c>
      <c r="AU5">
        <v>0</v>
      </c>
      <c r="AV5">
        <v>0</v>
      </c>
      <c r="AW5">
        <v>0</v>
      </c>
      <c r="AX5">
        <v>1</v>
      </c>
      <c r="AY5">
        <v>0</v>
      </c>
      <c r="AZ5">
        <v>0</v>
      </c>
      <c r="BA5">
        <v>0</v>
      </c>
      <c r="BB5">
        <v>0</v>
      </c>
      <c r="BC5">
        <v>0</v>
      </c>
      <c r="BD5">
        <v>37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3</v>
      </c>
      <c r="BS5">
        <f t="shared" si="0"/>
        <v>141</v>
      </c>
      <c r="BT5">
        <f t="shared" si="1"/>
        <v>99</v>
      </c>
      <c r="BU5">
        <f>SUM(Table1[[#This Row],[Carinate facetate FR1]:[Acicular hair cell FR23]])</f>
        <v>41</v>
      </c>
      <c r="BV5" t="str">
        <f t="shared" si="2"/>
        <v>2.41463414634146:1</v>
      </c>
      <c r="BW5">
        <f t="shared" si="3"/>
        <v>0</v>
      </c>
      <c r="BX5">
        <f t="shared" si="4"/>
        <v>21</v>
      </c>
      <c r="BY5" s="80">
        <f t="shared" si="5"/>
        <v>0</v>
      </c>
      <c r="BZ5" s="80">
        <f>BW5/$BR$5</f>
        <v>0</v>
      </c>
      <c r="CA5" s="80">
        <f>BX5/$BR$5</f>
        <v>7</v>
      </c>
    </row>
    <row r="6" spans="1:79" x14ac:dyDescent="0.2">
      <c r="A6" t="s">
        <v>610</v>
      </c>
      <c r="B6">
        <v>20</v>
      </c>
      <c r="C6">
        <v>7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 s="82">
        <f>SUM(Table1[[#This Row],[Bilobate concave outer margin long shaft var A GRS2]:[Bilobate concave outer margin long shaft var H GRS11]])</f>
        <v>0</v>
      </c>
      <c r="O6">
        <v>0</v>
      </c>
      <c r="P6">
        <v>6</v>
      </c>
      <c r="Q6">
        <v>6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15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 s="82">
        <f>SUM(Table1[[#This Row],[Polylobate epidermal short cell var A GRS25]:[Polylobate epidermal short cell var E GRS29]])</f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 s="82">
        <f>SUM(Table1[[#This Row],[Rondel short flat top GRS32]:[Rondel tall pyramidal ovate top GRS37]])</f>
        <v>0</v>
      </c>
      <c r="AQ6">
        <v>0</v>
      </c>
      <c r="AR6">
        <v>0</v>
      </c>
      <c r="AS6" s="82">
        <f>SUM(Table1[[#This Row],[Saddle epidermal short cell GRS38]:[Saddle short epidermal short cell GRS39]])</f>
        <v>0</v>
      </c>
      <c r="AT6">
        <v>0</v>
      </c>
      <c r="AU6">
        <v>0</v>
      </c>
      <c r="AV6">
        <v>0</v>
      </c>
      <c r="AW6">
        <v>0</v>
      </c>
      <c r="AX6">
        <v>1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2</v>
      </c>
      <c r="BM6">
        <v>0</v>
      </c>
      <c r="BN6">
        <v>0</v>
      </c>
      <c r="BO6">
        <v>0</v>
      </c>
      <c r="BP6">
        <v>1</v>
      </c>
      <c r="BQ6">
        <v>0</v>
      </c>
      <c r="BR6">
        <v>3</v>
      </c>
      <c r="BS6">
        <f t="shared" si="0"/>
        <v>41</v>
      </c>
      <c r="BT6">
        <f t="shared" si="1"/>
        <v>34</v>
      </c>
      <c r="BU6">
        <f>SUM(Table1[[#This Row],[Carinate facetate FR1]:[Acicular hair cell FR23]])</f>
        <v>7</v>
      </c>
      <c r="BV6" t="str">
        <f t="shared" si="2"/>
        <v>4.85714285714286:1</v>
      </c>
      <c r="BW6">
        <f t="shared" si="3"/>
        <v>2</v>
      </c>
      <c r="BX6">
        <f t="shared" si="4"/>
        <v>7</v>
      </c>
      <c r="BY6" s="80">
        <f t="shared" si="5"/>
        <v>0.2857142857142857</v>
      </c>
      <c r="BZ6" s="80">
        <f>BW6/$BR$6</f>
        <v>0.66666666666666663</v>
      </c>
      <c r="CA6" s="80">
        <f>BX6/$BR$6</f>
        <v>2.3333333333333335</v>
      </c>
    </row>
    <row r="7" spans="1:79" x14ac:dyDescent="0.2">
      <c r="A7" t="s">
        <v>611</v>
      </c>
      <c r="B7">
        <v>25</v>
      </c>
      <c r="C7">
        <v>11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 s="82">
        <f>SUM(Table1[[#This Row],[Bilobate concave outer margin long shaft var A GRS2]:[Bilobate concave outer margin long shaft var H GRS11]])</f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 s="82">
        <f>SUM(Table1[[#This Row],[Polylobate epidermal short cell var A GRS25]:[Polylobate epidermal short cell var E GRS29]])</f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 s="82">
        <f>SUM(Table1[[#This Row],[Rondel short flat top GRS32]:[Rondel tall pyramidal ovate top GRS37]])</f>
        <v>0</v>
      </c>
      <c r="AQ7">
        <v>0</v>
      </c>
      <c r="AR7">
        <v>0</v>
      </c>
      <c r="AS7" s="82">
        <f>SUM(Table1[[#This Row],[Saddle epidermal short cell GRS38]:[Saddle short epidermal short cell GRS39]])</f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36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f t="shared" si="0"/>
        <v>47</v>
      </c>
      <c r="BT7">
        <f t="shared" si="1"/>
        <v>11</v>
      </c>
      <c r="BU7">
        <f>SUM(Table1[[#This Row],[Carinate facetate FR1]:[Acicular hair cell FR23]])</f>
        <v>36</v>
      </c>
      <c r="BV7" t="str">
        <f t="shared" si="2"/>
        <v>0.305555555555556:1</v>
      </c>
      <c r="BW7">
        <f t="shared" si="3"/>
        <v>36</v>
      </c>
      <c r="BX7">
        <f t="shared" si="4"/>
        <v>11</v>
      </c>
      <c r="BY7" s="80">
        <f t="shared" si="5"/>
        <v>3.2727272727272729</v>
      </c>
      <c r="BZ7" s="80" t="e">
        <f>BW7/$BR$7</f>
        <v>#DIV/0!</v>
      </c>
      <c r="CA7" s="80" t="e">
        <f>BX7/$BR$7</f>
        <v>#DIV/0!</v>
      </c>
    </row>
    <row r="8" spans="1:79" x14ac:dyDescent="0.2">
      <c r="A8" t="s">
        <v>612</v>
      </c>
      <c r="B8">
        <v>30</v>
      </c>
      <c r="C8">
        <v>6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 s="82">
        <f>SUM(Table1[[#This Row],[Bilobate concave outer margin long shaft var A GRS2]:[Bilobate concave outer margin long shaft var H GRS11]])</f>
        <v>0</v>
      </c>
      <c r="O8">
        <v>0</v>
      </c>
      <c r="P8">
        <v>1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 s="82">
        <f>SUM(Table1[[#This Row],[Polylobate epidermal short cell var A GRS25]:[Polylobate epidermal short cell var E GRS29]])</f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 s="82">
        <f>SUM(Table1[[#This Row],[Rondel short flat top GRS32]:[Rondel tall pyramidal ovate top GRS37]])</f>
        <v>0</v>
      </c>
      <c r="AQ8">
        <v>0</v>
      </c>
      <c r="AR8">
        <v>0</v>
      </c>
      <c r="AS8" s="82">
        <f>SUM(Table1[[#This Row],[Saddle epidermal short cell GRS38]:[Saddle short epidermal short cell GRS39]])</f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19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f t="shared" si="0"/>
        <v>26</v>
      </c>
      <c r="BT8">
        <f t="shared" si="1"/>
        <v>7</v>
      </c>
      <c r="BU8">
        <f>SUM(Table1[[#This Row],[Carinate facetate FR1]:[Acicular hair cell FR23]])</f>
        <v>19</v>
      </c>
      <c r="BV8" t="str">
        <f t="shared" si="2"/>
        <v>0.368421052631579:1</v>
      </c>
      <c r="BW8">
        <f t="shared" si="3"/>
        <v>19</v>
      </c>
      <c r="BX8">
        <f t="shared" si="4"/>
        <v>6</v>
      </c>
      <c r="BY8" s="80">
        <f t="shared" si="5"/>
        <v>3.1666666666666665</v>
      </c>
      <c r="BZ8" s="80" t="e">
        <f>BW8/$BR$8</f>
        <v>#DIV/0!</v>
      </c>
      <c r="CA8" s="80" t="e">
        <f>BX8/$BR$8</f>
        <v>#DIV/0!</v>
      </c>
    </row>
    <row r="9" spans="1:79" x14ac:dyDescent="0.2">
      <c r="A9" t="s">
        <v>613</v>
      </c>
      <c r="B9">
        <v>35</v>
      </c>
      <c r="C9">
        <v>18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 s="82">
        <f>SUM(Table1[[#This Row],[Bilobate concave outer margin long shaft var A GRS2]:[Bilobate concave outer margin long shaft var H GRS11]])</f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1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82">
        <f>SUM(Table1[[#This Row],[Polylobate epidermal short cell var A GRS25]:[Polylobate epidermal short cell var E GRS29]])</f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 s="82">
        <f>SUM(Table1[[#This Row],[Rondel short flat top GRS32]:[Rondel tall pyramidal ovate top GRS37]])</f>
        <v>0</v>
      </c>
      <c r="AQ9">
        <v>0</v>
      </c>
      <c r="AR9">
        <v>0</v>
      </c>
      <c r="AS9" s="82">
        <f>SUM(Table1[[#This Row],[Saddle epidermal short cell GRS38]:[Saddle short epidermal short cell GRS39]])</f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27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f t="shared" si="0"/>
        <v>46</v>
      </c>
      <c r="BT9">
        <f t="shared" si="1"/>
        <v>19</v>
      </c>
      <c r="BU9">
        <f>SUM(Table1[[#This Row],[Carinate facetate FR1]:[Acicular hair cell FR23]])</f>
        <v>27</v>
      </c>
      <c r="BV9" t="str">
        <f t="shared" si="2"/>
        <v>0.703703703703704:1</v>
      </c>
      <c r="BW9">
        <f t="shared" si="3"/>
        <v>27</v>
      </c>
      <c r="BX9">
        <f t="shared" si="4"/>
        <v>18</v>
      </c>
      <c r="BY9" s="80">
        <f t="shared" si="5"/>
        <v>1.5</v>
      </c>
      <c r="BZ9" s="80" t="e">
        <f>BW9/$BR$9</f>
        <v>#DIV/0!</v>
      </c>
      <c r="CA9" s="80" t="e">
        <f>BX9/$BR$9</f>
        <v>#DIV/0!</v>
      </c>
    </row>
    <row r="10" spans="1:79" x14ac:dyDescent="0.2">
      <c r="A10" t="s">
        <v>614</v>
      </c>
      <c r="B10">
        <v>40</v>
      </c>
      <c r="C10">
        <v>9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 s="82">
        <f>SUM(Table1[[#This Row],[Bilobate concave outer margin long shaft var A GRS2]:[Bilobate concave outer margin long shaft var H GRS11]])</f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1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 s="82">
        <f>SUM(Table1[[#This Row],[Polylobate epidermal short cell var A GRS25]:[Polylobate epidermal short cell var E GRS29]])</f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 s="82">
        <f>SUM(Table1[[#This Row],[Rondel short flat top GRS32]:[Rondel tall pyramidal ovate top GRS37]])</f>
        <v>0</v>
      </c>
      <c r="AQ10">
        <v>0</v>
      </c>
      <c r="AR10">
        <v>0</v>
      </c>
      <c r="AS10" s="82">
        <f>SUM(Table1[[#This Row],[Saddle epidermal short cell GRS38]:[Saddle short epidermal short cell GRS39]])</f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15</v>
      </c>
      <c r="BH10">
        <v>0</v>
      </c>
      <c r="BI10">
        <v>0</v>
      </c>
      <c r="BJ10">
        <v>0</v>
      </c>
      <c r="BK10">
        <v>0</v>
      </c>
      <c r="BL10">
        <v>69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f t="shared" si="0"/>
        <v>94</v>
      </c>
      <c r="BT10">
        <f t="shared" si="1"/>
        <v>10</v>
      </c>
      <c r="BU10">
        <f>SUM(Table1[[#This Row],[Carinate facetate FR1]:[Acicular hair cell FR23]])</f>
        <v>84</v>
      </c>
      <c r="BV10" t="str">
        <f t="shared" si="2"/>
        <v>0.119047619047619:1</v>
      </c>
      <c r="BW10">
        <f t="shared" si="3"/>
        <v>69</v>
      </c>
      <c r="BX10">
        <f t="shared" si="4"/>
        <v>9</v>
      </c>
      <c r="BY10" s="80">
        <f t="shared" si="5"/>
        <v>7.666666666666667</v>
      </c>
      <c r="BZ10" s="80" t="e">
        <f>BW10/$BR$10</f>
        <v>#DIV/0!</v>
      </c>
      <c r="CA10" s="80" t="e">
        <f>BX10/$BR$10</f>
        <v>#DIV/0!</v>
      </c>
    </row>
    <row r="11" spans="1:79" x14ac:dyDescent="0.2">
      <c r="A11" t="s">
        <v>615</v>
      </c>
      <c r="B11">
        <v>45</v>
      </c>
      <c r="C11">
        <v>5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 s="82">
        <f>SUM(Table1[[#This Row],[Bilobate concave outer margin long shaft var A GRS2]:[Bilobate concave outer margin long shaft var H GRS11]])</f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 s="82">
        <f>SUM(Table1[[#This Row],[Polylobate epidermal short cell var A GRS25]:[Polylobate epidermal short cell var E GRS29]])</f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 s="82">
        <f>SUM(Table1[[#This Row],[Rondel short flat top GRS32]:[Rondel tall pyramidal ovate top GRS37]])</f>
        <v>0</v>
      </c>
      <c r="AQ11">
        <v>0</v>
      </c>
      <c r="AR11">
        <v>0</v>
      </c>
      <c r="AS11" s="82">
        <f>SUM(Table1[[#This Row],[Saddle epidermal short cell GRS38]:[Saddle short epidermal short cell GRS39]])</f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13</v>
      </c>
      <c r="BH11">
        <v>0</v>
      </c>
      <c r="BI11">
        <v>0</v>
      </c>
      <c r="BJ11">
        <v>0</v>
      </c>
      <c r="BK11">
        <v>0</v>
      </c>
      <c r="BL11">
        <v>39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f t="shared" si="0"/>
        <v>57</v>
      </c>
      <c r="BT11">
        <f t="shared" si="1"/>
        <v>5</v>
      </c>
      <c r="BU11">
        <f>SUM(Table1[[#This Row],[Carinate facetate FR1]:[Acicular hair cell FR23]])</f>
        <v>52</v>
      </c>
      <c r="BV11" t="str">
        <f t="shared" si="2"/>
        <v>0.0961538461538462:1</v>
      </c>
      <c r="BW11">
        <f t="shared" si="3"/>
        <v>39</v>
      </c>
      <c r="BX11">
        <f t="shared" si="4"/>
        <v>5</v>
      </c>
      <c r="BY11" s="80">
        <f t="shared" si="5"/>
        <v>7.8</v>
      </c>
      <c r="BZ11" s="80" t="e">
        <f>BW11/$BR$11</f>
        <v>#DIV/0!</v>
      </c>
      <c r="CA11" s="80" t="e">
        <f>BX11/$BR$11</f>
        <v>#DIV/0!</v>
      </c>
    </row>
    <row r="12" spans="1:79" x14ac:dyDescent="0.2">
      <c r="A12" t="s">
        <v>616</v>
      </c>
      <c r="B12">
        <v>50</v>
      </c>
      <c r="C12">
        <v>20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 s="82">
        <f>SUM(Table1[[#This Row],[Bilobate concave outer margin long shaft var A GRS2]:[Bilobate concave outer margin long shaft var H GRS11]])</f>
        <v>0</v>
      </c>
      <c r="O12">
        <v>0</v>
      </c>
      <c r="P12">
        <v>1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 s="82">
        <f>SUM(Table1[[#This Row],[Polylobate epidermal short cell var A GRS25]:[Polylobate epidermal short cell var E GRS29]])</f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 s="82">
        <f>SUM(Table1[[#This Row],[Rondel short flat top GRS32]:[Rondel tall pyramidal ovate top GRS37]])</f>
        <v>0</v>
      </c>
      <c r="AQ12">
        <v>0</v>
      </c>
      <c r="AR12">
        <v>0</v>
      </c>
      <c r="AS12" s="82">
        <f>SUM(Table1[[#This Row],[Saddle epidermal short cell GRS38]:[Saddle short epidermal short cell GRS39]])</f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11</v>
      </c>
      <c r="BH12">
        <v>0</v>
      </c>
      <c r="BI12">
        <v>0</v>
      </c>
      <c r="BJ12">
        <v>0</v>
      </c>
      <c r="BK12">
        <v>0</v>
      </c>
      <c r="BL12">
        <v>22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f t="shared" si="0"/>
        <v>54</v>
      </c>
      <c r="BT12">
        <f t="shared" si="1"/>
        <v>21</v>
      </c>
      <c r="BU12">
        <f>SUM(Table1[[#This Row],[Carinate facetate FR1]:[Acicular hair cell FR23]])</f>
        <v>33</v>
      </c>
      <c r="BV12" t="str">
        <f t="shared" si="2"/>
        <v>0.636363636363636:1</v>
      </c>
      <c r="BW12">
        <f t="shared" si="3"/>
        <v>22</v>
      </c>
      <c r="BX12">
        <f t="shared" si="4"/>
        <v>20</v>
      </c>
      <c r="BY12" s="80">
        <f t="shared" si="5"/>
        <v>1.1000000000000001</v>
      </c>
      <c r="BZ12" s="80" t="e">
        <f>BW12/$BR$12</f>
        <v>#DIV/0!</v>
      </c>
      <c r="CA12" s="80" t="e">
        <f>BX12/$BR$12</f>
        <v>#DIV/0!</v>
      </c>
    </row>
    <row r="13" spans="1:79" x14ac:dyDescent="0.2">
      <c r="A13" t="s">
        <v>617</v>
      </c>
      <c r="B13">
        <v>55</v>
      </c>
      <c r="C13">
        <v>5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 s="82">
        <f>SUM(Table1[[#This Row],[Bilobate concave outer margin long shaft var A GRS2]:[Bilobate concave outer margin long shaft var H GRS11]])</f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 s="82">
        <f>SUM(Table1[[#This Row],[Polylobate epidermal short cell var A GRS25]:[Polylobate epidermal short cell var E GRS29]])</f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 s="82">
        <f>SUM(Table1[[#This Row],[Rondel short flat top GRS32]:[Rondel tall pyramidal ovate top GRS37]])</f>
        <v>0</v>
      </c>
      <c r="AQ13">
        <v>0</v>
      </c>
      <c r="AR13">
        <v>0</v>
      </c>
      <c r="AS13" s="82">
        <f>SUM(Table1[[#This Row],[Saddle epidermal short cell GRS38]:[Saddle short epidermal short cell GRS39]])</f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22</v>
      </c>
      <c r="BC13">
        <v>0</v>
      </c>
      <c r="BD13">
        <v>0</v>
      </c>
      <c r="BE13">
        <v>0</v>
      </c>
      <c r="BF13">
        <v>0</v>
      </c>
      <c r="BG13">
        <v>19</v>
      </c>
      <c r="BH13">
        <v>0</v>
      </c>
      <c r="BI13">
        <v>0</v>
      </c>
      <c r="BJ13">
        <v>0</v>
      </c>
      <c r="BK13">
        <v>0</v>
      </c>
      <c r="BL13">
        <v>5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f t="shared" si="0"/>
        <v>51</v>
      </c>
      <c r="BT13">
        <f t="shared" si="1"/>
        <v>5</v>
      </c>
      <c r="BU13">
        <f>SUM(Table1[[#This Row],[Carinate facetate FR1]:[Acicular hair cell FR23]])</f>
        <v>46</v>
      </c>
      <c r="BV13" t="str">
        <f t="shared" si="2"/>
        <v>0.108695652173913:1</v>
      </c>
      <c r="BW13">
        <f t="shared" si="3"/>
        <v>27</v>
      </c>
      <c r="BX13">
        <f t="shared" si="4"/>
        <v>5</v>
      </c>
      <c r="BY13" s="80">
        <f t="shared" si="5"/>
        <v>5.4</v>
      </c>
      <c r="BZ13" s="80" t="e">
        <f>BW13/$BR$13</f>
        <v>#DIV/0!</v>
      </c>
      <c r="CA13" s="80" t="e">
        <f>BX13/$BR$13</f>
        <v>#DIV/0!</v>
      </c>
    </row>
    <row r="14" spans="1:79" x14ac:dyDescent="0.2">
      <c r="A14" t="s">
        <v>618</v>
      </c>
      <c r="B14">
        <v>60</v>
      </c>
      <c r="C14">
        <v>25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 s="82">
        <f>SUM(Table1[[#This Row],[Bilobate concave outer margin long shaft var A GRS2]:[Bilobate concave outer margin long shaft var H GRS11]])</f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 s="82">
        <f>SUM(Table1[[#This Row],[Polylobate epidermal short cell var A GRS25]:[Polylobate epidermal short cell var E GRS29]])</f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 s="82">
        <f>SUM(Table1[[#This Row],[Rondel short flat top GRS32]:[Rondel tall pyramidal ovate top GRS37]])</f>
        <v>0</v>
      </c>
      <c r="AQ14">
        <v>0</v>
      </c>
      <c r="AR14">
        <v>0</v>
      </c>
      <c r="AS14" s="82">
        <f>SUM(Table1[[#This Row],[Saddle epidermal short cell GRS38]:[Saddle short epidermal short cell GRS39]])</f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2</v>
      </c>
      <c r="BC14">
        <v>0</v>
      </c>
      <c r="BD14">
        <v>0</v>
      </c>
      <c r="BE14">
        <v>0</v>
      </c>
      <c r="BF14">
        <v>0</v>
      </c>
      <c r="BG14">
        <v>21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5</v>
      </c>
      <c r="BP14">
        <v>0</v>
      </c>
      <c r="BQ14">
        <v>0</v>
      </c>
      <c r="BR14">
        <v>0</v>
      </c>
      <c r="BS14">
        <f t="shared" si="0"/>
        <v>53</v>
      </c>
      <c r="BT14">
        <f t="shared" si="1"/>
        <v>25</v>
      </c>
      <c r="BU14">
        <f>SUM(Table1[[#This Row],[Carinate facetate FR1]:[Acicular hair cell FR23]])</f>
        <v>28</v>
      </c>
      <c r="BV14" t="str">
        <f t="shared" si="2"/>
        <v>0.892857142857143:1</v>
      </c>
      <c r="BW14">
        <f t="shared" si="3"/>
        <v>2</v>
      </c>
      <c r="BX14">
        <f t="shared" si="4"/>
        <v>25</v>
      </c>
      <c r="BY14" s="80">
        <f t="shared" si="5"/>
        <v>0.08</v>
      </c>
      <c r="BZ14" s="80" t="e">
        <f>BW14/$BR$14</f>
        <v>#DIV/0!</v>
      </c>
      <c r="CA14" s="80" t="e">
        <f>BX14/$BR$14</f>
        <v>#DIV/0!</v>
      </c>
    </row>
    <row r="15" spans="1:79" x14ac:dyDescent="0.2">
      <c r="N15" s="82"/>
      <c r="AG15" s="82"/>
      <c r="AP15" s="82"/>
      <c r="AS15" s="82"/>
      <c r="BT15">
        <f t="shared" si="1"/>
        <v>0</v>
      </c>
    </row>
    <row r="16" spans="1:79" x14ac:dyDescent="0.2">
      <c r="C16">
        <f>SUM(C2:C14)</f>
        <v>149</v>
      </c>
      <c r="D16">
        <f t="shared" ref="D16:BR16" si="6">SUM(D2:D14)</f>
        <v>0</v>
      </c>
      <c r="E16">
        <f t="shared" si="6"/>
        <v>0</v>
      </c>
      <c r="F16">
        <f t="shared" si="6"/>
        <v>4</v>
      </c>
      <c r="G16">
        <f t="shared" si="6"/>
        <v>0</v>
      </c>
      <c r="H16">
        <f t="shared" si="6"/>
        <v>0</v>
      </c>
      <c r="I16">
        <f t="shared" si="6"/>
        <v>0</v>
      </c>
      <c r="J16">
        <f t="shared" si="6"/>
        <v>2</v>
      </c>
      <c r="K16">
        <f t="shared" si="6"/>
        <v>0</v>
      </c>
      <c r="L16">
        <f t="shared" si="6"/>
        <v>0</v>
      </c>
      <c r="M16">
        <f t="shared" si="6"/>
        <v>0</v>
      </c>
      <c r="N16" s="82">
        <f t="shared" si="6"/>
        <v>6</v>
      </c>
      <c r="O16">
        <f t="shared" si="6"/>
        <v>1</v>
      </c>
      <c r="P16">
        <f t="shared" si="6"/>
        <v>30</v>
      </c>
      <c r="Q16">
        <f t="shared" si="6"/>
        <v>75</v>
      </c>
      <c r="R16">
        <f t="shared" si="6"/>
        <v>0</v>
      </c>
      <c r="S16">
        <f t="shared" si="6"/>
        <v>0</v>
      </c>
      <c r="T16">
        <f t="shared" si="6"/>
        <v>0</v>
      </c>
      <c r="U16">
        <f t="shared" si="6"/>
        <v>0</v>
      </c>
      <c r="V16">
        <f t="shared" si="6"/>
        <v>0</v>
      </c>
      <c r="W16">
        <f t="shared" si="6"/>
        <v>0</v>
      </c>
      <c r="X16">
        <f t="shared" si="6"/>
        <v>6</v>
      </c>
      <c r="Y16">
        <f t="shared" si="6"/>
        <v>75</v>
      </c>
      <c r="Z16">
        <f t="shared" si="6"/>
        <v>0</v>
      </c>
      <c r="AA16">
        <f t="shared" si="6"/>
        <v>0</v>
      </c>
      <c r="AB16">
        <f t="shared" si="6"/>
        <v>0</v>
      </c>
      <c r="AC16">
        <f t="shared" si="6"/>
        <v>0</v>
      </c>
      <c r="AD16">
        <f t="shared" si="6"/>
        <v>0</v>
      </c>
      <c r="AE16">
        <f t="shared" si="6"/>
        <v>0</v>
      </c>
      <c r="AF16">
        <f t="shared" si="6"/>
        <v>0</v>
      </c>
      <c r="AG16" s="82">
        <f t="shared" si="6"/>
        <v>0</v>
      </c>
      <c r="AH16">
        <f t="shared" si="6"/>
        <v>0</v>
      </c>
      <c r="AI16">
        <f t="shared" si="6"/>
        <v>0</v>
      </c>
      <c r="AJ16">
        <f t="shared" si="6"/>
        <v>1</v>
      </c>
      <c r="AK16">
        <f t="shared" si="6"/>
        <v>0</v>
      </c>
      <c r="AL16">
        <f t="shared" si="6"/>
        <v>0</v>
      </c>
      <c r="AM16">
        <f t="shared" si="6"/>
        <v>1</v>
      </c>
      <c r="AN16">
        <f t="shared" si="6"/>
        <v>0</v>
      </c>
      <c r="AO16">
        <f t="shared" si="6"/>
        <v>0</v>
      </c>
      <c r="AP16" s="82">
        <f t="shared" si="6"/>
        <v>2</v>
      </c>
      <c r="AQ16">
        <f t="shared" si="6"/>
        <v>1</v>
      </c>
      <c r="AR16">
        <f t="shared" si="6"/>
        <v>10</v>
      </c>
      <c r="AS16" s="82">
        <f t="shared" si="6"/>
        <v>11</v>
      </c>
      <c r="AT16">
        <f t="shared" si="6"/>
        <v>0</v>
      </c>
      <c r="AU16">
        <f t="shared" si="6"/>
        <v>0</v>
      </c>
      <c r="AV16">
        <f t="shared" si="6"/>
        <v>0</v>
      </c>
      <c r="AW16">
        <f t="shared" si="6"/>
        <v>0</v>
      </c>
      <c r="AX16">
        <f t="shared" si="6"/>
        <v>3</v>
      </c>
      <c r="AY16">
        <f t="shared" si="6"/>
        <v>0</v>
      </c>
      <c r="AZ16">
        <f t="shared" si="6"/>
        <v>0</v>
      </c>
      <c r="BA16">
        <f t="shared" si="6"/>
        <v>0</v>
      </c>
      <c r="BB16">
        <f t="shared" si="6"/>
        <v>25</v>
      </c>
      <c r="BC16">
        <f t="shared" si="6"/>
        <v>0</v>
      </c>
      <c r="BD16">
        <f t="shared" si="6"/>
        <v>37</v>
      </c>
      <c r="BE16">
        <f t="shared" si="6"/>
        <v>0</v>
      </c>
      <c r="BF16">
        <f t="shared" si="6"/>
        <v>0</v>
      </c>
      <c r="BG16">
        <f t="shared" si="6"/>
        <v>79</v>
      </c>
      <c r="BH16">
        <f t="shared" si="6"/>
        <v>0</v>
      </c>
      <c r="BI16">
        <f t="shared" si="6"/>
        <v>0</v>
      </c>
      <c r="BJ16">
        <f t="shared" si="6"/>
        <v>0</v>
      </c>
      <c r="BK16">
        <f t="shared" si="6"/>
        <v>0</v>
      </c>
      <c r="BL16">
        <f t="shared" si="6"/>
        <v>220</v>
      </c>
      <c r="BM16">
        <f t="shared" si="6"/>
        <v>1</v>
      </c>
      <c r="BN16">
        <f t="shared" si="6"/>
        <v>0</v>
      </c>
      <c r="BO16">
        <f t="shared" si="6"/>
        <v>5</v>
      </c>
      <c r="BP16">
        <f t="shared" si="6"/>
        <v>9</v>
      </c>
      <c r="BQ16">
        <f t="shared" si="6"/>
        <v>0</v>
      </c>
      <c r="BR16">
        <f t="shared" si="6"/>
        <v>6</v>
      </c>
      <c r="BS16">
        <f>SUM(BS2:BS14)</f>
        <v>759</v>
      </c>
      <c r="BT16">
        <f t="shared" si="1"/>
        <v>355</v>
      </c>
      <c r="BU16">
        <f>SUM(BU2:BU15)</f>
        <v>385</v>
      </c>
      <c r="BV16" t="str">
        <f t="shared" si="2"/>
        <v>0.922077922077922:1</v>
      </c>
      <c r="BW16">
        <f>SUM(BW2:BW15)</f>
        <v>245</v>
      </c>
      <c r="BX16">
        <f>SUM(BX2:BX15)</f>
        <v>169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6"/>
  <sheetViews>
    <sheetView workbookViewId="0">
      <selection sqref="A1:A14"/>
    </sheetView>
  </sheetViews>
  <sheetFormatPr baseColWidth="10" defaultRowHeight="16" x14ac:dyDescent="0.2"/>
  <cols>
    <col min="1" max="1" width="20" bestFit="1" customWidth="1"/>
  </cols>
  <sheetData>
    <row r="1" spans="1:83" x14ac:dyDescent="0.2">
      <c r="A1" t="s">
        <v>484</v>
      </c>
      <c r="B1" t="s">
        <v>581</v>
      </c>
      <c r="C1" s="64" t="s">
        <v>486</v>
      </c>
      <c r="D1" s="64" t="s">
        <v>487</v>
      </c>
      <c r="E1" s="64" t="s">
        <v>488</v>
      </c>
      <c r="F1" s="64" t="s">
        <v>489</v>
      </c>
      <c r="G1" s="64" t="s">
        <v>490</v>
      </c>
      <c r="H1" s="64" t="s">
        <v>491</v>
      </c>
      <c r="I1" s="64" t="s">
        <v>492</v>
      </c>
      <c r="J1" s="64" t="s">
        <v>493</v>
      </c>
      <c r="K1" s="64" t="s">
        <v>494</v>
      </c>
      <c r="L1" s="64" t="s">
        <v>495</v>
      </c>
      <c r="M1" s="64" t="s">
        <v>496</v>
      </c>
      <c r="N1" s="85" t="s">
        <v>497</v>
      </c>
      <c r="O1" s="64" t="s">
        <v>498</v>
      </c>
      <c r="P1" s="64" t="s">
        <v>499</v>
      </c>
      <c r="Q1" s="64" t="s">
        <v>500</v>
      </c>
      <c r="R1" s="64" t="s">
        <v>501</v>
      </c>
      <c r="S1" s="64" t="s">
        <v>502</v>
      </c>
      <c r="T1" s="64" t="s">
        <v>432</v>
      </c>
      <c r="U1" s="64" t="s">
        <v>503</v>
      </c>
      <c r="V1" s="64" t="s">
        <v>504</v>
      </c>
      <c r="W1" s="64" t="s">
        <v>505</v>
      </c>
      <c r="X1" s="64" t="s">
        <v>506</v>
      </c>
      <c r="Y1" s="64" t="s">
        <v>507</v>
      </c>
      <c r="Z1" s="64" t="s">
        <v>508</v>
      </c>
      <c r="AA1" s="64" t="s">
        <v>509</v>
      </c>
      <c r="AB1" s="64" t="s">
        <v>510</v>
      </c>
      <c r="AC1" s="64" t="s">
        <v>511</v>
      </c>
      <c r="AD1" s="64" t="s">
        <v>512</v>
      </c>
      <c r="AE1" s="64" t="s">
        <v>513</v>
      </c>
      <c r="AF1" s="64" t="s">
        <v>514</v>
      </c>
      <c r="AG1" s="85" t="s">
        <v>515</v>
      </c>
      <c r="AH1" s="64" t="s">
        <v>516</v>
      </c>
      <c r="AI1" s="64" t="s">
        <v>517</v>
      </c>
      <c r="AJ1" s="64" t="s">
        <v>518</v>
      </c>
      <c r="AK1" s="64" t="s">
        <v>519</v>
      </c>
      <c r="AL1" s="64" t="s">
        <v>520</v>
      </c>
      <c r="AM1" s="64" t="s">
        <v>521</v>
      </c>
      <c r="AN1" s="64" t="s">
        <v>522</v>
      </c>
      <c r="AO1" s="67" t="s">
        <v>523</v>
      </c>
      <c r="AP1" s="66" t="s">
        <v>524</v>
      </c>
      <c r="AQ1" s="67" t="s">
        <v>525</v>
      </c>
      <c r="AR1" s="67" t="s">
        <v>526</v>
      </c>
      <c r="AS1" s="66" t="s">
        <v>527</v>
      </c>
      <c r="AT1" s="64" t="s">
        <v>528</v>
      </c>
      <c r="AU1" s="64" t="s">
        <v>619</v>
      </c>
      <c r="AV1" s="94" t="s">
        <v>620</v>
      </c>
      <c r="AW1" s="68" t="s">
        <v>531</v>
      </c>
      <c r="AX1" s="68" t="s">
        <v>532</v>
      </c>
      <c r="AY1" s="68" t="s">
        <v>533</v>
      </c>
      <c r="AZ1" s="68" t="s">
        <v>534</v>
      </c>
      <c r="BA1" s="68" t="s">
        <v>535</v>
      </c>
      <c r="BB1" s="68" t="s">
        <v>536</v>
      </c>
      <c r="BC1" s="68" t="s">
        <v>537</v>
      </c>
      <c r="BD1" s="68" t="s">
        <v>538</v>
      </c>
      <c r="BE1" s="68" t="s">
        <v>539</v>
      </c>
      <c r="BF1" s="68" t="s">
        <v>540</v>
      </c>
      <c r="BG1" s="68" t="s">
        <v>541</v>
      </c>
      <c r="BH1" s="68" t="s">
        <v>542</v>
      </c>
      <c r="BI1" s="68" t="s">
        <v>543</v>
      </c>
      <c r="BJ1" s="68" t="s">
        <v>544</v>
      </c>
      <c r="BK1" s="68" t="s">
        <v>545</v>
      </c>
      <c r="BL1" s="86" t="s">
        <v>546</v>
      </c>
      <c r="BM1" s="68" t="s">
        <v>585</v>
      </c>
      <c r="BN1" s="68" t="s">
        <v>548</v>
      </c>
      <c r="BO1" s="68" t="s">
        <v>549</v>
      </c>
      <c r="BP1" s="68" t="s">
        <v>550</v>
      </c>
      <c r="BQ1" s="68" t="s">
        <v>551</v>
      </c>
      <c r="BR1" s="68" t="s">
        <v>552</v>
      </c>
      <c r="BS1" s="69" t="s">
        <v>553</v>
      </c>
      <c r="BT1" s="95" t="s">
        <v>396</v>
      </c>
      <c r="BU1" t="s">
        <v>346</v>
      </c>
      <c r="BV1" t="s">
        <v>603</v>
      </c>
      <c r="BW1" t="s">
        <v>587</v>
      </c>
      <c r="BX1" t="s">
        <v>621</v>
      </c>
      <c r="BY1" t="s">
        <v>560</v>
      </c>
      <c r="BZ1" t="s">
        <v>561</v>
      </c>
      <c r="CA1" t="s">
        <v>564</v>
      </c>
      <c r="CC1" t="s">
        <v>565</v>
      </c>
      <c r="CD1" t="s">
        <v>566</v>
      </c>
      <c r="CE1" t="s">
        <v>622</v>
      </c>
    </row>
    <row r="2" spans="1:83" x14ac:dyDescent="0.2">
      <c r="A2" t="s">
        <v>623</v>
      </c>
      <c r="B2" s="74">
        <v>0</v>
      </c>
      <c r="C2" s="96">
        <v>21</v>
      </c>
      <c r="D2" s="74">
        <v>12</v>
      </c>
      <c r="E2" s="74">
        <v>95</v>
      </c>
      <c r="F2" s="74">
        <v>262</v>
      </c>
      <c r="G2" s="74">
        <v>0</v>
      </c>
      <c r="H2" s="74">
        <v>79</v>
      </c>
      <c r="I2" s="74">
        <v>3</v>
      </c>
      <c r="J2" s="74">
        <v>0</v>
      </c>
      <c r="K2" s="74">
        <v>45</v>
      </c>
      <c r="L2" s="74">
        <v>32</v>
      </c>
      <c r="M2" s="74">
        <v>0</v>
      </c>
      <c r="N2" s="75">
        <f>SUM(Table8[[#This Row],[Bilobate concave outer margin long shaft var A GRS2]:[Bilobate concave outer margin long shaft var H GRS11]])</f>
        <v>528</v>
      </c>
      <c r="O2" s="74">
        <v>11</v>
      </c>
      <c r="P2" s="74">
        <v>78</v>
      </c>
      <c r="Q2" s="74">
        <v>50</v>
      </c>
      <c r="R2" s="74">
        <v>0</v>
      </c>
      <c r="S2" s="74">
        <v>0</v>
      </c>
      <c r="T2" s="74">
        <v>0</v>
      </c>
      <c r="U2" s="74">
        <v>4</v>
      </c>
      <c r="V2" s="74">
        <v>0</v>
      </c>
      <c r="W2" s="74">
        <v>0</v>
      </c>
      <c r="X2" s="74">
        <v>1</v>
      </c>
      <c r="Y2" s="74">
        <v>153</v>
      </c>
      <c r="Z2" s="74">
        <v>0</v>
      </c>
      <c r="AA2" s="74">
        <v>0</v>
      </c>
      <c r="AB2" s="74">
        <v>40</v>
      </c>
      <c r="AC2" s="74">
        <v>0</v>
      </c>
      <c r="AD2" s="74">
        <v>0</v>
      </c>
      <c r="AE2" s="74">
        <v>0</v>
      </c>
      <c r="AF2" s="74">
        <v>16</v>
      </c>
      <c r="AG2" s="75">
        <f>SUM(Table8[[#This Row],[Polylobate epidermal short cell var A GRS25]:[Polylobate epidermal short cell var E GRS29]])</f>
        <v>56</v>
      </c>
      <c r="AH2" s="74">
        <v>0</v>
      </c>
      <c r="AI2" s="74">
        <v>34</v>
      </c>
      <c r="AJ2" s="74">
        <v>0</v>
      </c>
      <c r="AK2" s="74">
        <v>6</v>
      </c>
      <c r="AL2" s="74">
        <v>0</v>
      </c>
      <c r="AM2" s="74">
        <v>0</v>
      </c>
      <c r="AN2" s="74">
        <v>0</v>
      </c>
      <c r="AO2" s="74">
        <v>14</v>
      </c>
      <c r="AP2" s="75">
        <f>SUM(Table8[[#This Row],[Rondel short flat top GRS32]:[Rondel tall pyramidal ovate top GRS37]])</f>
        <v>20</v>
      </c>
      <c r="AQ2" s="74">
        <v>25</v>
      </c>
      <c r="AR2" s="74">
        <v>0</v>
      </c>
      <c r="AS2" s="75">
        <f>SUM(Table8[[#This Row],[Saddle epidermal short cell GRS38]:[Saddle short epidermal short cell GRS39]])</f>
        <v>25</v>
      </c>
      <c r="AT2" s="74">
        <v>3</v>
      </c>
      <c r="AU2" s="74">
        <v>0</v>
      </c>
      <c r="AV2" s="74">
        <v>2</v>
      </c>
      <c r="AW2" s="74">
        <v>0</v>
      </c>
      <c r="AX2" s="74">
        <v>0</v>
      </c>
      <c r="AY2" s="74">
        <v>0</v>
      </c>
      <c r="AZ2" s="74">
        <v>0</v>
      </c>
      <c r="BA2" s="74">
        <v>0</v>
      </c>
      <c r="BB2" s="74">
        <v>0</v>
      </c>
      <c r="BC2" s="74">
        <v>6</v>
      </c>
      <c r="BD2" s="74">
        <v>0</v>
      </c>
      <c r="BE2" s="74">
        <v>0</v>
      </c>
      <c r="BF2" s="74">
        <v>0</v>
      </c>
      <c r="BG2" s="74">
        <v>0</v>
      </c>
      <c r="BH2" s="74">
        <v>0</v>
      </c>
      <c r="BI2" s="74">
        <v>0</v>
      </c>
      <c r="BJ2" s="74">
        <v>0</v>
      </c>
      <c r="BK2" s="74">
        <v>0</v>
      </c>
      <c r="BL2" s="74">
        <v>0</v>
      </c>
      <c r="BM2" s="74">
        <v>39</v>
      </c>
      <c r="BN2" s="74">
        <v>0</v>
      </c>
      <c r="BO2" s="74">
        <v>0</v>
      </c>
      <c r="BP2" s="74">
        <v>0</v>
      </c>
      <c r="BQ2" s="74">
        <v>0</v>
      </c>
      <c r="BR2" s="74">
        <v>0</v>
      </c>
      <c r="BS2" s="74">
        <v>0</v>
      </c>
      <c r="BT2" s="56">
        <v>5</v>
      </c>
      <c r="BU2">
        <f t="shared" ref="BU2:BU15" si="0">SUM(C2:M2,O2:AF2,AH2:AO2,AQ2:AR2,AT2:BT2)</f>
        <v>1036</v>
      </c>
      <c r="BV2">
        <f t="shared" ref="BV2:BV16" si="1">SUM(C2:M2,O2:AF2,AH2:AO2,AQ2:AR2,AT2:AV2)</f>
        <v>986</v>
      </c>
      <c r="BW2">
        <f t="shared" ref="BW2:BW16" si="2">SUM(AW2:BL2,BN2:BT2)</f>
        <v>11</v>
      </c>
      <c r="BX2" t="str">
        <f>(BV2/BW2)&amp;":"&amp;(BW2/BW2)</f>
        <v>89.6363636363636:1</v>
      </c>
      <c r="BY2" s="83">
        <v>6</v>
      </c>
      <c r="BZ2">
        <f>SUM(C2,N2,O2,AG2,AI2,AS2, AP2)</f>
        <v>695</v>
      </c>
      <c r="CA2" s="80">
        <f>BY2/BZ2</f>
        <v>8.6330935251798559E-3</v>
      </c>
      <c r="CC2" s="80">
        <f>BY2/$BT$2</f>
        <v>1.2</v>
      </c>
      <c r="CD2" s="80">
        <f>BZ2/$BT$2</f>
        <v>139</v>
      </c>
      <c r="CE2" s="80">
        <f>CC2/CD2</f>
        <v>8.6330935251798559E-3</v>
      </c>
    </row>
    <row r="3" spans="1:83" x14ac:dyDescent="0.2">
      <c r="A3" t="s">
        <v>624</v>
      </c>
      <c r="B3" s="74">
        <v>5</v>
      </c>
      <c r="C3" s="96">
        <v>9</v>
      </c>
      <c r="D3" s="74">
        <v>0</v>
      </c>
      <c r="E3" s="74">
        <v>24</v>
      </c>
      <c r="F3" s="74">
        <v>70</v>
      </c>
      <c r="G3" s="74">
        <v>3</v>
      </c>
      <c r="H3" s="74">
        <v>6</v>
      </c>
      <c r="I3" s="74">
        <v>0</v>
      </c>
      <c r="J3" s="74">
        <v>0</v>
      </c>
      <c r="K3" s="74">
        <v>5</v>
      </c>
      <c r="L3" s="74">
        <v>0</v>
      </c>
      <c r="M3" s="74">
        <v>4</v>
      </c>
      <c r="N3" s="75">
        <f>SUM(Table8[[#This Row],[Bilobate concave outer margin long shaft var A GRS2]:[Bilobate concave outer margin long shaft var H GRS11]])</f>
        <v>112</v>
      </c>
      <c r="O3" s="74">
        <v>0</v>
      </c>
      <c r="P3" s="74">
        <v>68</v>
      </c>
      <c r="Q3" s="74">
        <v>7</v>
      </c>
      <c r="R3" s="74">
        <v>0</v>
      </c>
      <c r="S3" s="74">
        <v>0</v>
      </c>
      <c r="T3" s="74">
        <v>0</v>
      </c>
      <c r="U3" s="74">
        <v>5</v>
      </c>
      <c r="V3" s="74">
        <v>0</v>
      </c>
      <c r="W3" s="74">
        <v>0</v>
      </c>
      <c r="X3" s="74">
        <v>6</v>
      </c>
      <c r="Y3" s="74">
        <v>51</v>
      </c>
      <c r="Z3" s="74">
        <v>0</v>
      </c>
      <c r="AA3" s="74">
        <v>0</v>
      </c>
      <c r="AB3" s="74">
        <v>7</v>
      </c>
      <c r="AC3" s="74">
        <v>0</v>
      </c>
      <c r="AD3" s="74">
        <v>0</v>
      </c>
      <c r="AE3" s="74">
        <v>0</v>
      </c>
      <c r="AF3" s="74">
        <v>1</v>
      </c>
      <c r="AG3" s="75">
        <f>SUM(Table8[[#This Row],[Polylobate epidermal short cell var A GRS25]:[Polylobate epidermal short cell var E GRS29]])</f>
        <v>8</v>
      </c>
      <c r="AH3" s="74">
        <v>0</v>
      </c>
      <c r="AI3" s="74">
        <v>5</v>
      </c>
      <c r="AJ3" s="74">
        <v>2</v>
      </c>
      <c r="AK3" s="74">
        <v>0</v>
      </c>
      <c r="AL3" s="74">
        <v>0</v>
      </c>
      <c r="AM3" s="74">
        <v>0</v>
      </c>
      <c r="AN3" s="74">
        <v>0</v>
      </c>
      <c r="AO3" s="74">
        <v>0</v>
      </c>
      <c r="AP3" s="75">
        <f>SUM(Table8[[#This Row],[Rondel short flat top GRS32]:[Rondel tall pyramidal ovate top GRS37]])</f>
        <v>2</v>
      </c>
      <c r="AQ3" s="74">
        <v>10</v>
      </c>
      <c r="AR3" s="74">
        <v>0</v>
      </c>
      <c r="AS3" s="75">
        <f>SUM(Table8[[#This Row],[Saddle epidermal short cell GRS38]:[Saddle short epidermal short cell GRS39]])</f>
        <v>10</v>
      </c>
      <c r="AT3" s="74">
        <v>1</v>
      </c>
      <c r="AU3" s="74">
        <v>0</v>
      </c>
      <c r="AV3" s="74"/>
      <c r="AW3" s="74">
        <v>0</v>
      </c>
      <c r="AX3" s="74">
        <v>0</v>
      </c>
      <c r="AY3" s="74">
        <v>0</v>
      </c>
      <c r="AZ3" s="74">
        <v>0</v>
      </c>
      <c r="BA3" s="74">
        <v>0</v>
      </c>
      <c r="BB3" s="74">
        <v>0</v>
      </c>
      <c r="BC3" s="74">
        <v>8</v>
      </c>
      <c r="BD3" s="74">
        <v>0</v>
      </c>
      <c r="BE3" s="74">
        <v>0</v>
      </c>
      <c r="BF3" s="74">
        <v>0</v>
      </c>
      <c r="BG3" s="74">
        <v>0</v>
      </c>
      <c r="BH3" s="74">
        <v>0</v>
      </c>
      <c r="BI3" s="74">
        <v>0</v>
      </c>
      <c r="BJ3" s="74">
        <v>0</v>
      </c>
      <c r="BK3" s="74">
        <v>0</v>
      </c>
      <c r="BL3" s="74">
        <v>0</v>
      </c>
      <c r="BM3" s="74">
        <v>23</v>
      </c>
      <c r="BN3" s="74">
        <v>0</v>
      </c>
      <c r="BO3" s="74">
        <v>0</v>
      </c>
      <c r="BP3" s="74">
        <v>0</v>
      </c>
      <c r="BQ3" s="74">
        <v>0</v>
      </c>
      <c r="BR3" s="74">
        <v>0</v>
      </c>
      <c r="BS3" s="74">
        <v>0</v>
      </c>
      <c r="BT3" s="54">
        <v>1</v>
      </c>
      <c r="BU3">
        <f t="shared" si="0"/>
        <v>316</v>
      </c>
      <c r="BV3">
        <f t="shared" si="1"/>
        <v>284</v>
      </c>
      <c r="BW3">
        <f t="shared" si="2"/>
        <v>9</v>
      </c>
      <c r="BX3" t="str">
        <f t="shared" ref="BX3:BX14" si="3">(BV3/BW3)&amp;":"&amp;(BW3/BW3)</f>
        <v>31.5555555555556:1</v>
      </c>
      <c r="BY3" s="84">
        <v>8</v>
      </c>
      <c r="BZ3">
        <f t="shared" ref="BZ3:BZ14" si="4">SUM(C3,N3,O3,AG3,AI3,AS3, AP3)</f>
        <v>146</v>
      </c>
      <c r="CA3" s="80">
        <f t="shared" ref="CA3:CA14" si="5">BY3/BZ3</f>
        <v>5.4794520547945202E-2</v>
      </c>
      <c r="CC3" s="80">
        <f>BY3/$BT$3</f>
        <v>8</v>
      </c>
      <c r="CD3" s="80">
        <f>BZ3/$BT$3</f>
        <v>146</v>
      </c>
      <c r="CE3" s="80">
        <f t="shared" ref="CE3:CE14" si="6">CC3/CD3</f>
        <v>5.4794520547945202E-2</v>
      </c>
    </row>
    <row r="4" spans="1:83" x14ac:dyDescent="0.2">
      <c r="A4" t="s">
        <v>625</v>
      </c>
      <c r="B4" s="74">
        <v>10</v>
      </c>
      <c r="C4" s="96">
        <v>14</v>
      </c>
      <c r="D4" s="74">
        <v>8</v>
      </c>
      <c r="E4" s="74">
        <v>45</v>
      </c>
      <c r="F4" s="74">
        <v>221</v>
      </c>
      <c r="G4" s="74">
        <v>0</v>
      </c>
      <c r="H4" s="74">
        <v>75</v>
      </c>
      <c r="I4" s="74">
        <v>0</v>
      </c>
      <c r="J4" s="74">
        <v>0</v>
      </c>
      <c r="K4" s="74">
        <v>33</v>
      </c>
      <c r="L4" s="74">
        <v>6</v>
      </c>
      <c r="M4" s="74">
        <v>0</v>
      </c>
      <c r="N4" s="75">
        <f>SUM(Table8[[#This Row],[Bilobate concave outer margin long shaft var A GRS2]:[Bilobate concave outer margin long shaft var H GRS11]])</f>
        <v>388</v>
      </c>
      <c r="O4" s="74">
        <v>9</v>
      </c>
      <c r="P4" s="74">
        <v>58</v>
      </c>
      <c r="Q4" s="74">
        <v>24</v>
      </c>
      <c r="R4" s="74">
        <v>0</v>
      </c>
      <c r="S4" s="74">
        <v>0</v>
      </c>
      <c r="T4" s="74">
        <v>0</v>
      </c>
      <c r="U4" s="74">
        <v>1</v>
      </c>
      <c r="V4" s="74">
        <v>0</v>
      </c>
      <c r="W4" s="74">
        <v>0</v>
      </c>
      <c r="X4" s="74">
        <v>0</v>
      </c>
      <c r="Y4" s="74">
        <v>93</v>
      </c>
      <c r="Z4" s="74">
        <v>0</v>
      </c>
      <c r="AA4" s="74">
        <v>0</v>
      </c>
      <c r="AB4" s="74">
        <v>52</v>
      </c>
      <c r="AC4" s="74">
        <v>0</v>
      </c>
      <c r="AD4" s="74">
        <v>0</v>
      </c>
      <c r="AE4" s="74">
        <v>0</v>
      </c>
      <c r="AF4" s="74">
        <v>5</v>
      </c>
      <c r="AG4" s="75">
        <f>SUM(Table8[[#This Row],[Polylobate epidermal short cell var A GRS25]:[Polylobate epidermal short cell var E GRS29]])</f>
        <v>57</v>
      </c>
      <c r="AH4" s="74">
        <v>0</v>
      </c>
      <c r="AI4" s="74">
        <v>41</v>
      </c>
      <c r="AJ4" s="74">
        <v>0</v>
      </c>
      <c r="AK4" s="74">
        <v>0</v>
      </c>
      <c r="AL4" s="74">
        <v>0</v>
      </c>
      <c r="AM4" s="74">
        <v>0</v>
      </c>
      <c r="AN4" s="74">
        <v>0</v>
      </c>
      <c r="AO4" s="74">
        <v>7</v>
      </c>
      <c r="AP4" s="75">
        <f>SUM(Table8[[#This Row],[Rondel short flat top GRS32]:[Rondel tall pyramidal ovate top GRS37]])</f>
        <v>7</v>
      </c>
      <c r="AQ4" s="74">
        <v>14</v>
      </c>
      <c r="AR4" s="74">
        <v>0</v>
      </c>
      <c r="AS4" s="75">
        <f>SUM(Table8[[#This Row],[Saddle epidermal short cell GRS38]:[Saddle short epidermal short cell GRS39]])</f>
        <v>14</v>
      </c>
      <c r="AT4" s="74">
        <v>2</v>
      </c>
      <c r="AU4" s="74">
        <v>0</v>
      </c>
      <c r="AV4" s="74"/>
      <c r="AW4" s="74">
        <v>0</v>
      </c>
      <c r="AX4" s="74">
        <v>0</v>
      </c>
      <c r="AY4" s="74">
        <v>0</v>
      </c>
      <c r="AZ4" s="74">
        <v>0</v>
      </c>
      <c r="BA4" s="74">
        <v>0</v>
      </c>
      <c r="BB4" s="74">
        <v>0</v>
      </c>
      <c r="BC4" s="74">
        <v>11</v>
      </c>
      <c r="BD4" s="74">
        <v>0</v>
      </c>
      <c r="BE4" s="74">
        <v>0</v>
      </c>
      <c r="BF4" s="74">
        <v>0</v>
      </c>
      <c r="BG4" s="74">
        <v>0</v>
      </c>
      <c r="BH4" s="74">
        <v>0</v>
      </c>
      <c r="BI4" s="74">
        <v>0</v>
      </c>
      <c r="BJ4" s="74">
        <v>0</v>
      </c>
      <c r="BK4" s="74">
        <v>0</v>
      </c>
      <c r="BL4" s="74">
        <v>0</v>
      </c>
      <c r="BM4" s="74">
        <v>11</v>
      </c>
      <c r="BN4" s="74">
        <v>0</v>
      </c>
      <c r="BO4" s="74">
        <v>0</v>
      </c>
      <c r="BP4" s="74">
        <v>0</v>
      </c>
      <c r="BQ4" s="74">
        <v>0</v>
      </c>
      <c r="BR4" s="74">
        <v>0</v>
      </c>
      <c r="BS4" s="74">
        <v>0</v>
      </c>
      <c r="BT4" s="54">
        <v>0</v>
      </c>
      <c r="BU4">
        <f t="shared" si="0"/>
        <v>730</v>
      </c>
      <c r="BV4">
        <f t="shared" si="1"/>
        <v>708</v>
      </c>
      <c r="BW4">
        <f t="shared" si="2"/>
        <v>11</v>
      </c>
      <c r="BX4" t="str">
        <f t="shared" si="3"/>
        <v>64.3636363636364:1</v>
      </c>
      <c r="BY4" s="83">
        <v>11</v>
      </c>
      <c r="BZ4">
        <f t="shared" si="4"/>
        <v>530</v>
      </c>
      <c r="CA4" s="80">
        <f t="shared" si="5"/>
        <v>2.0754716981132074E-2</v>
      </c>
      <c r="CC4" s="80" t="e">
        <f>BY4/$BT$4</f>
        <v>#DIV/0!</v>
      </c>
      <c r="CD4" s="80" t="e">
        <f>BZ4/$BT$4</f>
        <v>#DIV/0!</v>
      </c>
      <c r="CE4" s="80" t="e">
        <f t="shared" si="6"/>
        <v>#DIV/0!</v>
      </c>
    </row>
    <row r="5" spans="1:83" x14ac:dyDescent="0.2">
      <c r="A5" t="s">
        <v>626</v>
      </c>
      <c r="B5" s="74">
        <v>15</v>
      </c>
      <c r="C5" s="96">
        <v>9</v>
      </c>
      <c r="D5" s="74">
        <v>0</v>
      </c>
      <c r="E5" s="74">
        <v>10</v>
      </c>
      <c r="F5" s="74">
        <v>73</v>
      </c>
      <c r="G5" s="74">
        <v>0</v>
      </c>
      <c r="H5" s="74">
        <v>17</v>
      </c>
      <c r="I5" s="74">
        <v>0</v>
      </c>
      <c r="J5" s="74">
        <v>0</v>
      </c>
      <c r="K5" s="74">
        <v>9</v>
      </c>
      <c r="L5" s="74">
        <v>0</v>
      </c>
      <c r="M5" s="74">
        <v>0</v>
      </c>
      <c r="N5" s="75">
        <f>SUM(Table8[[#This Row],[Bilobate concave outer margin long shaft var A GRS2]:[Bilobate concave outer margin long shaft var H GRS11]])</f>
        <v>109</v>
      </c>
      <c r="O5" s="74">
        <v>3</v>
      </c>
      <c r="P5" s="74">
        <v>39</v>
      </c>
      <c r="Q5" s="74">
        <v>22</v>
      </c>
      <c r="R5" s="74">
        <v>0</v>
      </c>
      <c r="S5" s="74">
        <v>0</v>
      </c>
      <c r="T5" s="74">
        <v>0</v>
      </c>
      <c r="U5" s="74">
        <v>2</v>
      </c>
      <c r="V5" s="74">
        <v>0</v>
      </c>
      <c r="W5" s="74">
        <v>0</v>
      </c>
      <c r="X5" s="74">
        <v>0</v>
      </c>
      <c r="Y5" s="74">
        <v>57</v>
      </c>
      <c r="Z5" s="74">
        <v>0</v>
      </c>
      <c r="AA5" s="74">
        <v>0</v>
      </c>
      <c r="AB5" s="74">
        <v>8</v>
      </c>
      <c r="AC5" s="74">
        <v>0</v>
      </c>
      <c r="AD5" s="74">
        <v>0</v>
      </c>
      <c r="AE5" s="74">
        <v>0</v>
      </c>
      <c r="AF5" s="74">
        <v>1</v>
      </c>
      <c r="AG5" s="75">
        <f>SUM(Table8[[#This Row],[Polylobate epidermal short cell var A GRS25]:[Polylobate epidermal short cell var E GRS29]])</f>
        <v>9</v>
      </c>
      <c r="AH5" s="74">
        <v>0</v>
      </c>
      <c r="AI5" s="74">
        <v>7</v>
      </c>
      <c r="AJ5" s="74">
        <v>6</v>
      </c>
      <c r="AK5" s="74">
        <v>0</v>
      </c>
      <c r="AL5" s="74">
        <v>0</v>
      </c>
      <c r="AM5" s="74">
        <v>0</v>
      </c>
      <c r="AN5" s="74">
        <v>0</v>
      </c>
      <c r="AO5" s="74">
        <v>1</v>
      </c>
      <c r="AP5" s="75">
        <f>SUM(Table8[[#This Row],[Rondel short flat top GRS32]:[Rondel tall pyramidal ovate top GRS37]])</f>
        <v>7</v>
      </c>
      <c r="AQ5" s="74">
        <v>1</v>
      </c>
      <c r="AR5" s="74">
        <v>0</v>
      </c>
      <c r="AS5" s="75">
        <f>SUM(Table8[[#This Row],[Saddle epidermal short cell GRS38]:[Saddle short epidermal short cell GRS39]])</f>
        <v>1</v>
      </c>
      <c r="AT5" s="74">
        <v>1</v>
      </c>
      <c r="AU5" s="74">
        <v>0</v>
      </c>
      <c r="AV5" s="74"/>
      <c r="AW5" s="74">
        <v>0</v>
      </c>
      <c r="AX5" s="74">
        <v>0</v>
      </c>
      <c r="AY5" s="74">
        <v>0</v>
      </c>
      <c r="AZ5" s="74">
        <v>0</v>
      </c>
      <c r="BA5" s="74">
        <v>0</v>
      </c>
      <c r="BB5" s="74">
        <v>0</v>
      </c>
      <c r="BC5" s="74">
        <v>7</v>
      </c>
      <c r="BD5" s="74">
        <v>0</v>
      </c>
      <c r="BE5" s="74">
        <v>0</v>
      </c>
      <c r="BF5" s="74">
        <v>0</v>
      </c>
      <c r="BG5" s="74">
        <v>0</v>
      </c>
      <c r="BH5" s="74">
        <v>0</v>
      </c>
      <c r="BI5" s="74">
        <v>0</v>
      </c>
      <c r="BJ5" s="74">
        <v>0</v>
      </c>
      <c r="BK5" s="74">
        <v>0</v>
      </c>
      <c r="BL5" s="74">
        <v>0</v>
      </c>
      <c r="BM5" s="74">
        <v>16</v>
      </c>
      <c r="BN5" s="74">
        <v>0</v>
      </c>
      <c r="BO5" s="74">
        <v>0</v>
      </c>
      <c r="BP5" s="74">
        <v>0</v>
      </c>
      <c r="BQ5" s="74">
        <v>0</v>
      </c>
      <c r="BR5" s="74">
        <v>0</v>
      </c>
      <c r="BS5" s="74">
        <v>0</v>
      </c>
      <c r="BT5" s="54">
        <v>0</v>
      </c>
      <c r="BU5">
        <f t="shared" si="0"/>
        <v>289</v>
      </c>
      <c r="BV5">
        <f t="shared" si="1"/>
        <v>266</v>
      </c>
      <c r="BW5">
        <f t="shared" si="2"/>
        <v>7</v>
      </c>
      <c r="BX5" t="str">
        <f t="shared" si="3"/>
        <v>38:1</v>
      </c>
      <c r="BY5" s="84">
        <v>7</v>
      </c>
      <c r="BZ5">
        <f t="shared" si="4"/>
        <v>145</v>
      </c>
      <c r="CA5" s="80">
        <f t="shared" si="5"/>
        <v>4.8275862068965517E-2</v>
      </c>
      <c r="CC5" s="80" t="e">
        <f>BY5/$BT$5</f>
        <v>#DIV/0!</v>
      </c>
      <c r="CD5" s="80" t="e">
        <f>BZ5/$BT$5</f>
        <v>#DIV/0!</v>
      </c>
      <c r="CE5" s="80" t="e">
        <f t="shared" si="6"/>
        <v>#DIV/0!</v>
      </c>
    </row>
    <row r="6" spans="1:83" x14ac:dyDescent="0.2">
      <c r="A6" t="s">
        <v>627</v>
      </c>
      <c r="B6" s="74">
        <v>20</v>
      </c>
      <c r="C6" s="96">
        <v>12</v>
      </c>
      <c r="D6" s="74">
        <v>0</v>
      </c>
      <c r="E6" s="74">
        <v>2</v>
      </c>
      <c r="F6" s="74">
        <v>10</v>
      </c>
      <c r="G6" s="74">
        <v>0</v>
      </c>
      <c r="H6" s="74">
        <v>2</v>
      </c>
      <c r="I6" s="74">
        <v>0</v>
      </c>
      <c r="J6" s="74">
        <v>0</v>
      </c>
      <c r="K6" s="74">
        <v>1</v>
      </c>
      <c r="L6" s="74">
        <v>0</v>
      </c>
      <c r="M6" s="74">
        <v>0</v>
      </c>
      <c r="N6" s="75">
        <f>SUM(Table8[[#This Row],[Bilobate concave outer margin long shaft var A GRS2]:[Bilobate concave outer margin long shaft var H GRS11]])</f>
        <v>15</v>
      </c>
      <c r="O6" s="74">
        <v>5</v>
      </c>
      <c r="P6" s="74">
        <v>27</v>
      </c>
      <c r="Q6" s="74">
        <v>5</v>
      </c>
      <c r="R6" s="74">
        <v>0</v>
      </c>
      <c r="S6" s="74">
        <v>0</v>
      </c>
      <c r="T6" s="74">
        <v>0</v>
      </c>
      <c r="U6" s="74">
        <v>0</v>
      </c>
      <c r="V6" s="74">
        <v>0</v>
      </c>
      <c r="W6" s="74">
        <v>0</v>
      </c>
      <c r="X6" s="74">
        <v>0</v>
      </c>
      <c r="Y6" s="74">
        <v>41</v>
      </c>
      <c r="Z6" s="74">
        <v>0</v>
      </c>
      <c r="AA6" s="74">
        <v>0</v>
      </c>
      <c r="AB6" s="74">
        <v>0</v>
      </c>
      <c r="AC6" s="74">
        <v>0</v>
      </c>
      <c r="AD6" s="74">
        <v>0</v>
      </c>
      <c r="AE6" s="74">
        <v>0</v>
      </c>
      <c r="AF6" s="74">
        <v>0</v>
      </c>
      <c r="AG6" s="75">
        <f>SUM(Table8[[#This Row],[Polylobate epidermal short cell var A GRS25]:[Polylobate epidermal short cell var E GRS29]])</f>
        <v>0</v>
      </c>
      <c r="AH6" s="74">
        <v>0</v>
      </c>
      <c r="AI6" s="74">
        <v>2</v>
      </c>
      <c r="AJ6" s="74">
        <v>1</v>
      </c>
      <c r="AK6" s="74">
        <v>0</v>
      </c>
      <c r="AL6" s="74">
        <v>0</v>
      </c>
      <c r="AM6" s="74">
        <v>0</v>
      </c>
      <c r="AN6" s="74">
        <v>0</v>
      </c>
      <c r="AO6" s="74">
        <v>0</v>
      </c>
      <c r="AP6" s="75">
        <f>SUM(Table8[[#This Row],[Rondel short flat top GRS32]:[Rondel tall pyramidal ovate top GRS37]])</f>
        <v>1</v>
      </c>
      <c r="AQ6" s="74">
        <v>1</v>
      </c>
      <c r="AR6" s="74">
        <v>0</v>
      </c>
      <c r="AS6" s="75">
        <f>SUM(Table8[[#This Row],[Saddle epidermal short cell GRS38]:[Saddle short epidermal short cell GRS39]])</f>
        <v>1</v>
      </c>
      <c r="AT6" s="74">
        <v>0</v>
      </c>
      <c r="AU6" s="74">
        <v>0</v>
      </c>
      <c r="AV6" s="74"/>
      <c r="AW6" s="74">
        <v>0</v>
      </c>
      <c r="AX6" s="74">
        <v>0</v>
      </c>
      <c r="AY6" s="74">
        <v>0</v>
      </c>
      <c r="AZ6" s="74">
        <v>0</v>
      </c>
      <c r="BA6" s="74">
        <v>0</v>
      </c>
      <c r="BB6" s="74">
        <v>0</v>
      </c>
      <c r="BC6" s="74">
        <v>23</v>
      </c>
      <c r="BD6" s="74">
        <v>0</v>
      </c>
      <c r="BE6" s="74">
        <v>0</v>
      </c>
      <c r="BF6" s="74">
        <v>0</v>
      </c>
      <c r="BG6" s="74">
        <v>0</v>
      </c>
      <c r="BH6" s="74">
        <v>0</v>
      </c>
      <c r="BI6" s="74">
        <v>0</v>
      </c>
      <c r="BJ6" s="74">
        <v>0</v>
      </c>
      <c r="BK6" s="74">
        <v>0</v>
      </c>
      <c r="BL6" s="74">
        <v>0</v>
      </c>
      <c r="BM6" s="74">
        <v>30</v>
      </c>
      <c r="BN6" s="74">
        <v>0</v>
      </c>
      <c r="BO6" s="74">
        <v>0</v>
      </c>
      <c r="BP6" s="74">
        <v>0</v>
      </c>
      <c r="BQ6" s="74">
        <v>0</v>
      </c>
      <c r="BR6" s="74">
        <v>0</v>
      </c>
      <c r="BS6" s="74">
        <v>0</v>
      </c>
      <c r="BT6" s="54">
        <v>1</v>
      </c>
      <c r="BU6">
        <f t="shared" si="0"/>
        <v>163</v>
      </c>
      <c r="BV6">
        <f t="shared" si="1"/>
        <v>109</v>
      </c>
      <c r="BW6">
        <f t="shared" si="2"/>
        <v>24</v>
      </c>
      <c r="BX6" t="str">
        <f t="shared" si="3"/>
        <v>4.54166666666667:1</v>
      </c>
      <c r="BY6" s="83">
        <v>23</v>
      </c>
      <c r="BZ6">
        <f t="shared" si="4"/>
        <v>36</v>
      </c>
      <c r="CA6" s="80">
        <f t="shared" si="5"/>
        <v>0.63888888888888884</v>
      </c>
      <c r="CC6" s="80">
        <f>BY6/$BT$6</f>
        <v>23</v>
      </c>
      <c r="CD6" s="80">
        <f>BZ6/$BT$6</f>
        <v>36</v>
      </c>
      <c r="CE6" s="80">
        <f t="shared" si="6"/>
        <v>0.63888888888888884</v>
      </c>
    </row>
    <row r="7" spans="1:83" x14ac:dyDescent="0.2">
      <c r="A7" t="s">
        <v>628</v>
      </c>
      <c r="B7" s="74">
        <v>25</v>
      </c>
      <c r="C7" s="96">
        <v>12</v>
      </c>
      <c r="D7" s="74">
        <v>0</v>
      </c>
      <c r="E7" s="74">
        <v>0</v>
      </c>
      <c r="F7" s="74">
        <v>1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5">
        <f>SUM(Table8[[#This Row],[Bilobate concave outer margin long shaft var A GRS2]:[Bilobate concave outer margin long shaft var H GRS11]])</f>
        <v>1</v>
      </c>
      <c r="O7" s="74">
        <v>0</v>
      </c>
      <c r="P7" s="74">
        <v>18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16</v>
      </c>
      <c r="Z7" s="74">
        <v>0</v>
      </c>
      <c r="AA7" s="74">
        <v>0</v>
      </c>
      <c r="AB7" s="74">
        <v>0</v>
      </c>
      <c r="AC7" s="74">
        <v>0</v>
      </c>
      <c r="AD7" s="74">
        <v>0</v>
      </c>
      <c r="AE7" s="74">
        <v>0</v>
      </c>
      <c r="AF7" s="74">
        <v>0</v>
      </c>
      <c r="AG7" s="75">
        <f>SUM(Table8[[#This Row],[Polylobate epidermal short cell var A GRS25]:[Polylobate epidermal short cell var E GRS29]])</f>
        <v>0</v>
      </c>
      <c r="AH7" s="74">
        <v>0</v>
      </c>
      <c r="AI7" s="74">
        <v>0</v>
      </c>
      <c r="AJ7" s="74">
        <v>0</v>
      </c>
      <c r="AK7" s="74">
        <v>0</v>
      </c>
      <c r="AL7" s="74">
        <v>0</v>
      </c>
      <c r="AM7" s="74">
        <v>0</v>
      </c>
      <c r="AN7" s="74">
        <v>0</v>
      </c>
      <c r="AO7" s="74">
        <v>0</v>
      </c>
      <c r="AP7" s="75">
        <f>SUM(Table8[[#This Row],[Rondel short flat top GRS32]:[Rondel tall pyramidal ovate top GRS37]])</f>
        <v>0</v>
      </c>
      <c r="AQ7" s="74">
        <v>0</v>
      </c>
      <c r="AR7" s="74">
        <v>0</v>
      </c>
      <c r="AS7" s="75">
        <f>SUM(Table8[[#This Row],[Saddle epidermal short cell GRS38]:[Saddle short epidermal short cell GRS39]])</f>
        <v>0</v>
      </c>
      <c r="AT7" s="74">
        <v>0</v>
      </c>
      <c r="AU7" s="74">
        <v>0</v>
      </c>
      <c r="AV7" s="74"/>
      <c r="AW7" s="74">
        <v>0</v>
      </c>
      <c r="AX7" s="74">
        <v>0</v>
      </c>
      <c r="AY7" s="74">
        <v>0</v>
      </c>
      <c r="AZ7" s="74">
        <v>0</v>
      </c>
      <c r="BA7" s="74">
        <v>0</v>
      </c>
      <c r="BB7" s="74">
        <v>0</v>
      </c>
      <c r="BC7" s="74">
        <v>38</v>
      </c>
      <c r="BD7" s="74">
        <v>1</v>
      </c>
      <c r="BE7" s="74">
        <v>0</v>
      </c>
      <c r="BF7" s="74">
        <v>0</v>
      </c>
      <c r="BG7" s="74">
        <v>0</v>
      </c>
      <c r="BH7" s="74">
        <v>0</v>
      </c>
      <c r="BI7" s="74">
        <v>0</v>
      </c>
      <c r="BJ7" s="74">
        <v>0</v>
      </c>
      <c r="BK7" s="74">
        <v>0</v>
      </c>
      <c r="BL7" s="74">
        <v>0</v>
      </c>
      <c r="BM7" s="74">
        <v>34</v>
      </c>
      <c r="BN7" s="74">
        <v>0</v>
      </c>
      <c r="BO7" s="74">
        <v>0</v>
      </c>
      <c r="BP7" s="74">
        <v>0</v>
      </c>
      <c r="BQ7" s="74">
        <v>0</v>
      </c>
      <c r="BR7" s="74">
        <v>0</v>
      </c>
      <c r="BS7" s="74">
        <v>0</v>
      </c>
      <c r="BT7" s="54">
        <v>1</v>
      </c>
      <c r="BU7">
        <f t="shared" si="0"/>
        <v>121</v>
      </c>
      <c r="BV7">
        <f t="shared" si="1"/>
        <v>47</v>
      </c>
      <c r="BW7">
        <f t="shared" si="2"/>
        <v>40</v>
      </c>
      <c r="BX7" t="str">
        <f t="shared" si="3"/>
        <v>1.175:1</v>
      </c>
      <c r="BY7" s="84">
        <v>38</v>
      </c>
      <c r="BZ7">
        <f t="shared" si="4"/>
        <v>13</v>
      </c>
      <c r="CA7" s="80">
        <f t="shared" si="5"/>
        <v>2.9230769230769229</v>
      </c>
      <c r="CC7" s="80">
        <f>BY7/$BT$7</f>
        <v>38</v>
      </c>
      <c r="CD7" s="80">
        <f>BZ7/$BT$7</f>
        <v>13</v>
      </c>
      <c r="CE7" s="80">
        <f t="shared" si="6"/>
        <v>2.9230769230769229</v>
      </c>
    </row>
    <row r="8" spans="1:83" x14ac:dyDescent="0.2">
      <c r="A8" t="s">
        <v>629</v>
      </c>
      <c r="B8" s="74">
        <v>30</v>
      </c>
      <c r="C8" s="96">
        <v>11</v>
      </c>
      <c r="D8" s="74">
        <v>0</v>
      </c>
      <c r="E8" s="74">
        <v>0</v>
      </c>
      <c r="F8" s="74">
        <v>1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5">
        <f>SUM(Table8[[#This Row],[Bilobate concave outer margin long shaft var A GRS2]:[Bilobate concave outer margin long shaft var H GRS11]])</f>
        <v>1</v>
      </c>
      <c r="O8" s="74">
        <v>0</v>
      </c>
      <c r="P8" s="74">
        <v>5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23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5">
        <f>SUM(Table8[[#This Row],[Polylobate epidermal short cell var A GRS25]:[Polylobate epidermal short cell var E GRS29]])</f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4">
        <v>0</v>
      </c>
      <c r="AN8" s="74">
        <v>0</v>
      </c>
      <c r="AO8" s="74">
        <v>0</v>
      </c>
      <c r="AP8" s="75">
        <f>SUM(Table8[[#This Row],[Rondel short flat top GRS32]:[Rondel tall pyramidal ovate top GRS37]])</f>
        <v>0</v>
      </c>
      <c r="AQ8" s="74">
        <v>0</v>
      </c>
      <c r="AR8" s="74">
        <v>0</v>
      </c>
      <c r="AS8" s="75">
        <f>SUM(Table8[[#This Row],[Saddle epidermal short cell GRS38]:[Saddle short epidermal short cell GRS39]])</f>
        <v>0</v>
      </c>
      <c r="AT8" s="74">
        <v>0</v>
      </c>
      <c r="AU8" s="74">
        <v>0</v>
      </c>
      <c r="AV8" s="74"/>
      <c r="AW8" s="74">
        <v>0</v>
      </c>
      <c r="AX8" s="74">
        <v>0</v>
      </c>
      <c r="AY8" s="74">
        <v>0</v>
      </c>
      <c r="AZ8" s="74">
        <v>0</v>
      </c>
      <c r="BA8" s="74">
        <v>0</v>
      </c>
      <c r="BB8" s="74">
        <v>0</v>
      </c>
      <c r="BC8" s="74">
        <v>16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0</v>
      </c>
      <c r="BJ8" s="74">
        <v>0</v>
      </c>
      <c r="BK8" s="74">
        <v>0</v>
      </c>
      <c r="BL8" s="74">
        <v>0</v>
      </c>
      <c r="BM8" s="74">
        <v>27</v>
      </c>
      <c r="BN8" s="74">
        <v>0</v>
      </c>
      <c r="BO8" s="74">
        <v>0</v>
      </c>
      <c r="BP8" s="74">
        <v>0</v>
      </c>
      <c r="BQ8" s="74">
        <v>0</v>
      </c>
      <c r="BR8" s="74">
        <v>0</v>
      </c>
      <c r="BS8" s="74">
        <v>0</v>
      </c>
      <c r="BT8" s="54">
        <v>4</v>
      </c>
      <c r="BU8">
        <f t="shared" si="0"/>
        <v>87</v>
      </c>
      <c r="BV8">
        <f t="shared" si="1"/>
        <v>40</v>
      </c>
      <c r="BW8">
        <f t="shared" si="2"/>
        <v>20</v>
      </c>
      <c r="BX8" t="str">
        <f t="shared" si="3"/>
        <v>2:1</v>
      </c>
      <c r="BY8" s="83">
        <v>16</v>
      </c>
      <c r="BZ8">
        <f t="shared" si="4"/>
        <v>12</v>
      </c>
      <c r="CA8" s="80">
        <f t="shared" si="5"/>
        <v>1.3333333333333333</v>
      </c>
      <c r="CC8" s="80">
        <f>BY8/$BT$8</f>
        <v>4</v>
      </c>
      <c r="CD8" s="80">
        <f>BZ8/$BT$8</f>
        <v>3</v>
      </c>
      <c r="CE8" s="80">
        <f t="shared" si="6"/>
        <v>1.3333333333333333</v>
      </c>
    </row>
    <row r="9" spans="1:83" x14ac:dyDescent="0.2">
      <c r="A9" t="s">
        <v>630</v>
      </c>
      <c r="B9" s="74">
        <v>35</v>
      </c>
      <c r="C9" s="96">
        <v>9</v>
      </c>
      <c r="D9" s="74">
        <v>1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5">
        <f>SUM(Table8[[#This Row],[Bilobate concave outer margin long shaft var A GRS2]:[Bilobate concave outer margin long shaft var H GRS11]])</f>
        <v>1</v>
      </c>
      <c r="O9" s="74">
        <v>0</v>
      </c>
      <c r="P9" s="74">
        <v>4</v>
      </c>
      <c r="Q9" s="74">
        <v>1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27</v>
      </c>
      <c r="Z9" s="74">
        <v>0</v>
      </c>
      <c r="AA9" s="74">
        <v>0</v>
      </c>
      <c r="AB9" s="74">
        <v>0</v>
      </c>
      <c r="AC9" s="74">
        <v>0</v>
      </c>
      <c r="AD9" s="74">
        <v>0</v>
      </c>
      <c r="AE9" s="74">
        <v>0</v>
      </c>
      <c r="AF9" s="74">
        <v>0</v>
      </c>
      <c r="AG9" s="75">
        <f>SUM(Table8[[#This Row],[Polylobate epidermal short cell var A GRS25]:[Polylobate epidermal short cell var E GRS29]])</f>
        <v>0</v>
      </c>
      <c r="AH9" s="74">
        <v>0</v>
      </c>
      <c r="AI9" s="74">
        <v>0</v>
      </c>
      <c r="AJ9" s="74">
        <v>0</v>
      </c>
      <c r="AK9" s="74">
        <v>0</v>
      </c>
      <c r="AL9" s="74">
        <v>0</v>
      </c>
      <c r="AM9" s="74">
        <v>0</v>
      </c>
      <c r="AN9" s="74">
        <v>0</v>
      </c>
      <c r="AO9" s="74">
        <v>0</v>
      </c>
      <c r="AP9" s="75">
        <f>SUM(Table8[[#This Row],[Rondel short flat top GRS32]:[Rondel tall pyramidal ovate top GRS37]])</f>
        <v>0</v>
      </c>
      <c r="AQ9" s="74">
        <v>0</v>
      </c>
      <c r="AR9" s="74">
        <v>0</v>
      </c>
      <c r="AS9" s="75">
        <f>SUM(Table8[[#This Row],[Saddle epidermal short cell GRS38]:[Saddle short epidermal short cell GRS39]])</f>
        <v>0</v>
      </c>
      <c r="AT9" s="74">
        <v>0</v>
      </c>
      <c r="AU9" s="74">
        <v>0</v>
      </c>
      <c r="AV9" s="74"/>
      <c r="AW9" s="74">
        <v>0</v>
      </c>
      <c r="AX9" s="74">
        <v>0</v>
      </c>
      <c r="AY9" s="74">
        <v>0</v>
      </c>
      <c r="AZ9" s="74">
        <v>0</v>
      </c>
      <c r="BA9" s="74">
        <v>0</v>
      </c>
      <c r="BB9" s="74">
        <v>0</v>
      </c>
      <c r="BC9" s="74">
        <v>24</v>
      </c>
      <c r="BD9" s="74">
        <v>0</v>
      </c>
      <c r="BE9" s="74">
        <v>0</v>
      </c>
      <c r="BF9" s="74">
        <v>0</v>
      </c>
      <c r="BG9" s="74">
        <v>3</v>
      </c>
      <c r="BH9" s="74">
        <v>0</v>
      </c>
      <c r="BI9" s="74">
        <v>0</v>
      </c>
      <c r="BJ9" s="74">
        <v>0</v>
      </c>
      <c r="BK9" s="74">
        <v>0</v>
      </c>
      <c r="BL9" s="74">
        <v>0</v>
      </c>
      <c r="BM9" s="74">
        <v>33</v>
      </c>
      <c r="BN9" s="74">
        <v>0</v>
      </c>
      <c r="BO9" s="74">
        <v>0</v>
      </c>
      <c r="BP9" s="74">
        <v>0</v>
      </c>
      <c r="BQ9" s="74">
        <v>0</v>
      </c>
      <c r="BR9" s="74">
        <v>0</v>
      </c>
      <c r="BS9" s="74">
        <v>0</v>
      </c>
      <c r="BT9" s="54">
        <v>4</v>
      </c>
      <c r="BU9">
        <f t="shared" si="0"/>
        <v>106</v>
      </c>
      <c r="BV9">
        <f t="shared" si="1"/>
        <v>42</v>
      </c>
      <c r="BW9">
        <f t="shared" si="2"/>
        <v>31</v>
      </c>
      <c r="BX9" t="str">
        <f t="shared" si="3"/>
        <v>1.35483870967742:1</v>
      </c>
      <c r="BY9" s="84">
        <v>24</v>
      </c>
      <c r="BZ9">
        <f t="shared" si="4"/>
        <v>10</v>
      </c>
      <c r="CA9" s="80">
        <f t="shared" si="5"/>
        <v>2.4</v>
      </c>
      <c r="CC9" s="80">
        <f>BY9/$BT$9</f>
        <v>6</v>
      </c>
      <c r="CD9" s="80">
        <f>BZ9/$BT$9</f>
        <v>2.5</v>
      </c>
      <c r="CE9" s="80">
        <f t="shared" si="6"/>
        <v>2.4</v>
      </c>
    </row>
    <row r="10" spans="1:83" x14ac:dyDescent="0.2">
      <c r="A10" t="s">
        <v>631</v>
      </c>
      <c r="B10" s="74">
        <v>40</v>
      </c>
      <c r="C10" s="96">
        <v>6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5">
        <f>SUM(Table8[[#This Row],[Bilobate concave outer margin long shaft var A GRS2]:[Bilobate concave outer margin long shaft var H GRS11]])</f>
        <v>0</v>
      </c>
      <c r="O10" s="74">
        <v>8</v>
      </c>
      <c r="P10" s="74">
        <v>2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55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5">
        <f>SUM(Table8[[#This Row],[Polylobate epidermal short cell var A GRS25]:[Polylobate epidermal short cell var E GRS29]])</f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0</v>
      </c>
      <c r="AM10" s="74">
        <v>1</v>
      </c>
      <c r="AN10" s="74">
        <v>0</v>
      </c>
      <c r="AO10" s="74">
        <v>0</v>
      </c>
      <c r="AP10" s="75">
        <f>SUM(Table8[[#This Row],[Rondel short flat top GRS32]:[Rondel tall pyramidal ovate top GRS37]])</f>
        <v>1</v>
      </c>
      <c r="AQ10" s="74">
        <v>0</v>
      </c>
      <c r="AR10" s="74">
        <v>0</v>
      </c>
      <c r="AS10" s="75">
        <f>SUM(Table8[[#This Row],[Saddle epidermal short cell GRS38]:[Saddle short epidermal short cell GRS39]])</f>
        <v>0</v>
      </c>
      <c r="AT10" s="74">
        <v>0</v>
      </c>
      <c r="AU10" s="74">
        <v>0</v>
      </c>
      <c r="AV10" s="74"/>
      <c r="AW10" s="74">
        <v>0</v>
      </c>
      <c r="AX10" s="74">
        <v>0</v>
      </c>
      <c r="AY10" s="74">
        <v>0</v>
      </c>
      <c r="AZ10" s="74">
        <v>0</v>
      </c>
      <c r="BA10" s="74">
        <v>0</v>
      </c>
      <c r="BB10" s="74">
        <v>0</v>
      </c>
      <c r="BC10" s="74">
        <v>8</v>
      </c>
      <c r="BD10" s="74">
        <v>2</v>
      </c>
      <c r="BE10" s="74">
        <v>0</v>
      </c>
      <c r="BF10" s="74">
        <v>0</v>
      </c>
      <c r="BG10" s="74">
        <v>0</v>
      </c>
      <c r="BH10" s="74">
        <v>0</v>
      </c>
      <c r="BI10" s="74">
        <v>0</v>
      </c>
      <c r="BJ10" s="74">
        <v>0</v>
      </c>
      <c r="BK10" s="74">
        <v>0</v>
      </c>
      <c r="BL10" s="74">
        <v>0</v>
      </c>
      <c r="BM10" s="74">
        <v>38</v>
      </c>
      <c r="BN10" s="74">
        <v>0</v>
      </c>
      <c r="BO10" s="74">
        <v>0</v>
      </c>
      <c r="BP10" s="74">
        <v>0</v>
      </c>
      <c r="BQ10" s="74">
        <v>0</v>
      </c>
      <c r="BR10" s="74">
        <v>0</v>
      </c>
      <c r="BS10" s="74">
        <v>0</v>
      </c>
      <c r="BT10" s="54">
        <v>11</v>
      </c>
      <c r="BU10">
        <f t="shared" si="0"/>
        <v>131</v>
      </c>
      <c r="BV10">
        <f t="shared" si="1"/>
        <v>72</v>
      </c>
      <c r="BW10">
        <f t="shared" si="2"/>
        <v>21</v>
      </c>
      <c r="BX10" t="str">
        <f t="shared" si="3"/>
        <v>3.42857142857143:1</v>
      </c>
      <c r="BY10" s="83">
        <v>8</v>
      </c>
      <c r="BZ10">
        <f t="shared" si="4"/>
        <v>15</v>
      </c>
      <c r="CA10" s="80">
        <f t="shared" si="5"/>
        <v>0.53333333333333333</v>
      </c>
      <c r="CC10" s="80">
        <f>BY10/$BT$10</f>
        <v>0.72727272727272729</v>
      </c>
      <c r="CD10" s="80">
        <f>BZ10/$BT$10</f>
        <v>1.3636363636363635</v>
      </c>
      <c r="CE10" s="80">
        <f t="shared" si="6"/>
        <v>0.53333333333333344</v>
      </c>
    </row>
    <row r="11" spans="1:83" x14ac:dyDescent="0.2">
      <c r="A11" t="s">
        <v>632</v>
      </c>
      <c r="B11" s="74">
        <v>45</v>
      </c>
      <c r="C11" s="96">
        <v>6</v>
      </c>
      <c r="D11" s="74">
        <v>0</v>
      </c>
      <c r="E11" s="74">
        <v>0</v>
      </c>
      <c r="F11" s="74">
        <v>2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5">
        <f>SUM(Table8[[#This Row],[Bilobate concave outer margin long shaft var A GRS2]:[Bilobate concave outer margin long shaft var H GRS11]])</f>
        <v>2</v>
      </c>
      <c r="O11" s="74">
        <v>3</v>
      </c>
      <c r="P11" s="74">
        <v>31</v>
      </c>
      <c r="Q11" s="74">
        <v>7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37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5">
        <f>SUM(Table8[[#This Row],[Polylobate epidermal short cell var A GRS25]:[Polylobate epidermal short cell var E GRS29]])</f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4">
        <v>0</v>
      </c>
      <c r="AP11" s="75">
        <f>SUM(Table8[[#This Row],[Rondel short flat top GRS32]:[Rondel tall pyramidal ovate top GRS37]])</f>
        <v>0</v>
      </c>
      <c r="AQ11" s="74">
        <v>0</v>
      </c>
      <c r="AR11" s="74">
        <v>0</v>
      </c>
      <c r="AS11" s="75">
        <f>SUM(Table8[[#This Row],[Saddle epidermal short cell GRS38]:[Saddle short epidermal short cell GRS39]])</f>
        <v>0</v>
      </c>
      <c r="AT11" s="74">
        <v>0</v>
      </c>
      <c r="AU11" s="74">
        <v>0</v>
      </c>
      <c r="AV11" s="74"/>
      <c r="AW11" s="74">
        <v>0</v>
      </c>
      <c r="AX11" s="74">
        <v>0</v>
      </c>
      <c r="AY11" s="74">
        <v>0</v>
      </c>
      <c r="AZ11" s="74">
        <v>0</v>
      </c>
      <c r="BA11" s="74">
        <v>0</v>
      </c>
      <c r="BB11" s="74">
        <v>0</v>
      </c>
      <c r="BC11" s="74">
        <v>10</v>
      </c>
      <c r="BD11" s="74">
        <v>2</v>
      </c>
      <c r="BE11" s="74">
        <v>0</v>
      </c>
      <c r="BF11" s="74">
        <v>0</v>
      </c>
      <c r="BG11" s="74">
        <v>0</v>
      </c>
      <c r="BH11" s="74">
        <v>0</v>
      </c>
      <c r="BI11" s="74">
        <v>0</v>
      </c>
      <c r="BJ11" s="74">
        <v>0</v>
      </c>
      <c r="BK11" s="74">
        <v>0</v>
      </c>
      <c r="BL11" s="74">
        <v>0</v>
      </c>
      <c r="BM11" s="74">
        <v>40</v>
      </c>
      <c r="BN11" s="74">
        <v>0</v>
      </c>
      <c r="BO11" s="74">
        <v>0</v>
      </c>
      <c r="BP11" s="74">
        <v>2</v>
      </c>
      <c r="BQ11" s="74">
        <v>0</v>
      </c>
      <c r="BR11" s="74">
        <v>0</v>
      </c>
      <c r="BS11" s="74">
        <v>0</v>
      </c>
      <c r="BT11" s="54">
        <v>5</v>
      </c>
      <c r="BU11">
        <f t="shared" si="0"/>
        <v>145</v>
      </c>
      <c r="BV11">
        <f t="shared" si="1"/>
        <v>86</v>
      </c>
      <c r="BW11">
        <f t="shared" si="2"/>
        <v>19</v>
      </c>
      <c r="BX11" t="str">
        <f t="shared" si="3"/>
        <v>4.52631578947368:1</v>
      </c>
      <c r="BY11" s="84">
        <v>10</v>
      </c>
      <c r="BZ11">
        <f t="shared" si="4"/>
        <v>11</v>
      </c>
      <c r="CA11" s="80">
        <f t="shared" si="5"/>
        <v>0.90909090909090906</v>
      </c>
      <c r="CC11" s="80">
        <f>BY11/$BT$11</f>
        <v>2</v>
      </c>
      <c r="CD11" s="80">
        <f>BZ11/$BT$11</f>
        <v>2.2000000000000002</v>
      </c>
      <c r="CE11" s="80">
        <f t="shared" si="6"/>
        <v>0.90909090909090906</v>
      </c>
    </row>
    <row r="12" spans="1:83" x14ac:dyDescent="0.2">
      <c r="A12" t="s">
        <v>633</v>
      </c>
      <c r="B12" s="74">
        <v>50</v>
      </c>
      <c r="C12" s="96">
        <v>19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f>SUM(Table8[[#This Row],[Bilobate concave outer margin long shaft var A GRS2]:[Bilobate concave outer margin long shaft var H GRS11]])</f>
        <v>0</v>
      </c>
      <c r="O12" s="74">
        <v>0</v>
      </c>
      <c r="P12" s="74">
        <v>1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2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5">
        <f>SUM(Table8[[#This Row],[Polylobate epidermal short cell var A GRS25]:[Polylobate epidermal short cell var E GRS29]])</f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5">
        <f>SUM(Table8[[#This Row],[Rondel short flat top GRS32]:[Rondel tall pyramidal ovate top GRS37]])</f>
        <v>0</v>
      </c>
      <c r="AQ12" s="74">
        <v>0</v>
      </c>
      <c r="AR12" s="74">
        <v>0</v>
      </c>
      <c r="AS12" s="75">
        <f>SUM(Table8[[#This Row],[Saddle epidermal short cell GRS38]:[Saddle short epidermal short cell GRS39]])</f>
        <v>0</v>
      </c>
      <c r="AT12" s="74">
        <v>0</v>
      </c>
      <c r="AU12" s="74">
        <v>0</v>
      </c>
      <c r="AV12" s="74"/>
      <c r="AW12" s="74">
        <v>0</v>
      </c>
      <c r="AX12" s="74">
        <v>0</v>
      </c>
      <c r="AY12" s="74">
        <v>0</v>
      </c>
      <c r="AZ12" s="74">
        <v>0</v>
      </c>
      <c r="BA12" s="74">
        <v>0</v>
      </c>
      <c r="BB12" s="74">
        <v>0</v>
      </c>
      <c r="BC12" s="74">
        <v>0</v>
      </c>
      <c r="BD12" s="74">
        <v>0</v>
      </c>
      <c r="BE12" s="74">
        <v>0</v>
      </c>
      <c r="BF12" s="74">
        <v>0</v>
      </c>
      <c r="BG12" s="74">
        <v>7</v>
      </c>
      <c r="BH12" s="74">
        <v>17</v>
      </c>
      <c r="BI12" s="74">
        <v>0</v>
      </c>
      <c r="BJ12" s="74">
        <v>0</v>
      </c>
      <c r="BK12" s="74">
        <v>0</v>
      </c>
      <c r="BL12" s="74">
        <v>0</v>
      </c>
      <c r="BM12" s="74">
        <v>3</v>
      </c>
      <c r="BN12" s="74">
        <v>0</v>
      </c>
      <c r="BO12" s="74">
        <v>0</v>
      </c>
      <c r="BP12" s="74">
        <v>0</v>
      </c>
      <c r="BQ12" s="74">
        <v>0</v>
      </c>
      <c r="BR12" s="74">
        <v>0</v>
      </c>
      <c r="BS12" s="74">
        <v>0</v>
      </c>
      <c r="BT12" s="54">
        <v>3</v>
      </c>
      <c r="BU12">
        <f t="shared" si="0"/>
        <v>52</v>
      </c>
      <c r="BV12">
        <f t="shared" si="1"/>
        <v>22</v>
      </c>
      <c r="BW12">
        <f t="shared" si="2"/>
        <v>27</v>
      </c>
      <c r="BX12" t="str">
        <f t="shared" si="3"/>
        <v>0.814814814814815:1</v>
      </c>
      <c r="BY12" s="83">
        <v>0</v>
      </c>
      <c r="BZ12">
        <f t="shared" si="4"/>
        <v>19</v>
      </c>
      <c r="CA12" s="80">
        <f t="shared" si="5"/>
        <v>0</v>
      </c>
      <c r="CC12" s="80">
        <f>BY12/$BT$12</f>
        <v>0</v>
      </c>
      <c r="CD12" s="80">
        <f>BZ12/$BT$12</f>
        <v>6.333333333333333</v>
      </c>
      <c r="CE12" s="80">
        <f t="shared" si="6"/>
        <v>0</v>
      </c>
    </row>
    <row r="13" spans="1:83" x14ac:dyDescent="0.2">
      <c r="A13" t="s">
        <v>634</v>
      </c>
      <c r="B13" s="74">
        <v>55</v>
      </c>
      <c r="C13" s="96">
        <v>25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f>SUM(Table8[[#This Row],[Bilobate concave outer margin long shaft var A GRS2]:[Bilobate concave outer margin long shaft var H GRS11]])</f>
        <v>0</v>
      </c>
      <c r="O13" s="74">
        <v>0</v>
      </c>
      <c r="P13" s="74">
        <v>4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13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5">
        <f>SUM(Table8[[#This Row],[Polylobate epidermal short cell var A GRS25]:[Polylobate epidermal short cell var E GRS29]])</f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5">
        <f>SUM(Table8[[#This Row],[Rondel short flat top GRS32]:[Rondel tall pyramidal ovate top GRS37]])</f>
        <v>0</v>
      </c>
      <c r="AQ13" s="74">
        <v>0</v>
      </c>
      <c r="AR13" s="74">
        <v>0</v>
      </c>
      <c r="AS13" s="75">
        <f>SUM(Table8[[#This Row],[Saddle epidermal short cell GRS38]:[Saddle short epidermal short cell GRS39]])</f>
        <v>0</v>
      </c>
      <c r="AT13" s="74">
        <v>0</v>
      </c>
      <c r="AU13" s="74">
        <v>0</v>
      </c>
      <c r="AV13" s="74"/>
      <c r="AW13" s="74">
        <v>0</v>
      </c>
      <c r="AX13" s="74">
        <v>0</v>
      </c>
      <c r="AY13" s="74">
        <v>0</v>
      </c>
      <c r="AZ13" s="74">
        <v>0</v>
      </c>
      <c r="BA13" s="74">
        <v>1</v>
      </c>
      <c r="BB13" s="74">
        <v>0</v>
      </c>
      <c r="BC13" s="74">
        <v>0</v>
      </c>
      <c r="BD13" s="74">
        <v>0</v>
      </c>
      <c r="BE13" s="74">
        <v>0</v>
      </c>
      <c r="BF13" s="74">
        <v>0</v>
      </c>
      <c r="BG13" s="74">
        <v>5</v>
      </c>
      <c r="BH13" s="74">
        <v>68</v>
      </c>
      <c r="BI13" s="74">
        <v>0</v>
      </c>
      <c r="BJ13" s="74">
        <v>0</v>
      </c>
      <c r="BK13" s="74">
        <v>0</v>
      </c>
      <c r="BL13" s="74">
        <v>0</v>
      </c>
      <c r="BM13" s="74">
        <v>40</v>
      </c>
      <c r="BN13" s="74">
        <v>0</v>
      </c>
      <c r="BO13" s="74">
        <v>0</v>
      </c>
      <c r="BP13" s="74">
        <v>0</v>
      </c>
      <c r="BQ13" s="74">
        <v>0</v>
      </c>
      <c r="BR13" s="74">
        <v>0</v>
      </c>
      <c r="BS13" s="74">
        <v>0</v>
      </c>
      <c r="BT13" s="54">
        <v>3</v>
      </c>
      <c r="BU13">
        <f t="shared" si="0"/>
        <v>159</v>
      </c>
      <c r="BV13">
        <f t="shared" si="1"/>
        <v>42</v>
      </c>
      <c r="BW13">
        <f t="shared" si="2"/>
        <v>77</v>
      </c>
      <c r="BX13" t="str">
        <f t="shared" si="3"/>
        <v>0.545454545454545:1</v>
      </c>
      <c r="BY13" s="84">
        <v>0</v>
      </c>
      <c r="BZ13">
        <f t="shared" si="4"/>
        <v>25</v>
      </c>
      <c r="CA13" s="80">
        <f t="shared" si="5"/>
        <v>0</v>
      </c>
      <c r="CC13" s="80">
        <f>BY13/$BT$13</f>
        <v>0</v>
      </c>
      <c r="CD13" s="80">
        <f>BZ13/$BT$13</f>
        <v>8.3333333333333339</v>
      </c>
      <c r="CE13" s="80">
        <f t="shared" si="6"/>
        <v>0</v>
      </c>
    </row>
    <row r="14" spans="1:83" x14ac:dyDescent="0.2">
      <c r="A14" t="s">
        <v>635</v>
      </c>
      <c r="B14" s="74">
        <v>60</v>
      </c>
      <c r="C14" s="62">
        <v>27</v>
      </c>
      <c r="D14" s="92">
        <v>1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3">
        <f>SUM(Table8[[#This Row],[Bilobate concave outer margin long shaft var A GRS2]:[Bilobate concave outer margin long shaft var H GRS11]])</f>
        <v>1</v>
      </c>
      <c r="O14" s="92">
        <v>0</v>
      </c>
      <c r="P14" s="92">
        <v>0</v>
      </c>
      <c r="Q14" s="92">
        <v>3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2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>
        <v>0</v>
      </c>
      <c r="AF14" s="92">
        <v>0</v>
      </c>
      <c r="AG14" s="93">
        <f>SUM(Table8[[#This Row],[Polylobate epidermal short cell var A GRS25]:[Polylobate epidermal short cell var E GRS29]])</f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0</v>
      </c>
      <c r="AO14" s="92">
        <v>0</v>
      </c>
      <c r="AP14" s="93">
        <f>SUM(Table8[[#This Row],[Rondel short flat top GRS32]:[Rondel tall pyramidal ovate top GRS37]])</f>
        <v>0</v>
      </c>
      <c r="AQ14" s="92">
        <v>0</v>
      </c>
      <c r="AR14" s="92">
        <v>0</v>
      </c>
      <c r="AS14" s="93">
        <f>SUM(Table8[[#This Row],[Saddle epidermal short cell GRS38]:[Saddle short epidermal short cell GRS39]])</f>
        <v>0</v>
      </c>
      <c r="AT14" s="92">
        <v>0</v>
      </c>
      <c r="AU14" s="92">
        <v>0</v>
      </c>
      <c r="AV14" s="92"/>
      <c r="AW14" s="92">
        <v>0</v>
      </c>
      <c r="AX14" s="92">
        <v>0</v>
      </c>
      <c r="AY14" s="92">
        <v>0</v>
      </c>
      <c r="AZ14" s="92">
        <v>0</v>
      </c>
      <c r="BA14" s="92">
        <v>0</v>
      </c>
      <c r="BB14" s="92">
        <v>0</v>
      </c>
      <c r="BC14" s="92">
        <v>0</v>
      </c>
      <c r="BD14" s="92">
        <v>0</v>
      </c>
      <c r="BE14" s="92">
        <v>0</v>
      </c>
      <c r="BF14" s="92">
        <v>0</v>
      </c>
      <c r="BG14" s="92">
        <v>4</v>
      </c>
      <c r="BH14" s="92">
        <v>51</v>
      </c>
      <c r="BI14" s="92">
        <v>0</v>
      </c>
      <c r="BJ14" s="92">
        <v>0</v>
      </c>
      <c r="BK14" s="92">
        <v>0</v>
      </c>
      <c r="BL14" s="92">
        <v>0</v>
      </c>
      <c r="BM14" s="92">
        <v>23</v>
      </c>
      <c r="BN14" s="92">
        <v>0</v>
      </c>
      <c r="BO14" s="92">
        <v>0</v>
      </c>
      <c r="BP14" s="92">
        <v>0</v>
      </c>
      <c r="BQ14" s="92">
        <v>0</v>
      </c>
      <c r="BR14" s="92">
        <v>0</v>
      </c>
      <c r="BS14" s="92">
        <v>0</v>
      </c>
      <c r="BT14" s="59">
        <v>0</v>
      </c>
      <c r="BU14">
        <f t="shared" si="0"/>
        <v>111</v>
      </c>
      <c r="BV14">
        <f t="shared" si="1"/>
        <v>33</v>
      </c>
      <c r="BW14">
        <f t="shared" si="2"/>
        <v>55</v>
      </c>
      <c r="BX14" t="str">
        <f t="shared" si="3"/>
        <v>0.6:1</v>
      </c>
      <c r="BY14" s="83">
        <v>0</v>
      </c>
      <c r="BZ14">
        <f t="shared" si="4"/>
        <v>28</v>
      </c>
      <c r="CA14" s="80">
        <f t="shared" si="5"/>
        <v>0</v>
      </c>
      <c r="CC14" s="80" t="e">
        <f>BY14/$BT$14</f>
        <v>#DIV/0!</v>
      </c>
      <c r="CD14" s="80" t="e">
        <f>BZ14/$BT$14</f>
        <v>#DIV/0!</v>
      </c>
      <c r="CE14" s="80" t="e">
        <f t="shared" si="6"/>
        <v>#DIV/0!</v>
      </c>
    </row>
    <row r="15" spans="1:83" x14ac:dyDescent="0.2">
      <c r="N15" s="82"/>
      <c r="AG15" s="82"/>
      <c r="AP15" s="82"/>
      <c r="AS15" s="82"/>
      <c r="BU15">
        <f t="shared" si="0"/>
        <v>0</v>
      </c>
      <c r="BV15">
        <f t="shared" si="1"/>
        <v>0</v>
      </c>
      <c r="BW15">
        <f t="shared" si="2"/>
        <v>0</v>
      </c>
    </row>
    <row r="16" spans="1:83" x14ac:dyDescent="0.2">
      <c r="C16">
        <f>SUM(C2:C14)</f>
        <v>180</v>
      </c>
      <c r="D16">
        <f t="shared" ref="D16:BT16" si="7">SUM(D2:D14)</f>
        <v>22</v>
      </c>
      <c r="E16">
        <f t="shared" si="7"/>
        <v>176</v>
      </c>
      <c r="F16">
        <f t="shared" si="7"/>
        <v>640</v>
      </c>
      <c r="G16">
        <f t="shared" si="7"/>
        <v>3</v>
      </c>
      <c r="H16">
        <f t="shared" si="7"/>
        <v>179</v>
      </c>
      <c r="I16">
        <f t="shared" si="7"/>
        <v>3</v>
      </c>
      <c r="J16">
        <f t="shared" si="7"/>
        <v>0</v>
      </c>
      <c r="K16">
        <f t="shared" si="7"/>
        <v>93</v>
      </c>
      <c r="L16">
        <f t="shared" si="7"/>
        <v>38</v>
      </c>
      <c r="M16">
        <f t="shared" si="7"/>
        <v>4</v>
      </c>
      <c r="N16" s="82">
        <f t="shared" si="7"/>
        <v>1158</v>
      </c>
      <c r="O16">
        <f t="shared" si="7"/>
        <v>39</v>
      </c>
      <c r="P16">
        <f t="shared" si="7"/>
        <v>335</v>
      </c>
      <c r="Q16">
        <f t="shared" si="7"/>
        <v>119</v>
      </c>
      <c r="R16">
        <f t="shared" si="7"/>
        <v>0</v>
      </c>
      <c r="S16">
        <f t="shared" si="7"/>
        <v>0</v>
      </c>
      <c r="T16">
        <f t="shared" si="7"/>
        <v>0</v>
      </c>
      <c r="U16">
        <f t="shared" si="7"/>
        <v>12</v>
      </c>
      <c r="V16">
        <f t="shared" si="7"/>
        <v>0</v>
      </c>
      <c r="W16">
        <f t="shared" si="7"/>
        <v>0</v>
      </c>
      <c r="X16">
        <f t="shared" si="7"/>
        <v>7</v>
      </c>
      <c r="Y16">
        <f t="shared" si="7"/>
        <v>570</v>
      </c>
      <c r="Z16">
        <f t="shared" si="7"/>
        <v>0</v>
      </c>
      <c r="AA16">
        <f t="shared" si="7"/>
        <v>0</v>
      </c>
      <c r="AB16">
        <f t="shared" si="7"/>
        <v>107</v>
      </c>
      <c r="AC16">
        <f t="shared" si="7"/>
        <v>0</v>
      </c>
      <c r="AD16">
        <f t="shared" si="7"/>
        <v>0</v>
      </c>
      <c r="AE16">
        <f t="shared" si="7"/>
        <v>0</v>
      </c>
      <c r="AF16">
        <f t="shared" si="7"/>
        <v>23</v>
      </c>
      <c r="AG16" s="82">
        <f t="shared" si="7"/>
        <v>130</v>
      </c>
      <c r="AH16">
        <f t="shared" si="7"/>
        <v>0</v>
      </c>
      <c r="AI16">
        <f t="shared" si="7"/>
        <v>89</v>
      </c>
      <c r="AJ16">
        <f t="shared" si="7"/>
        <v>9</v>
      </c>
      <c r="AK16">
        <f t="shared" si="7"/>
        <v>6</v>
      </c>
      <c r="AL16">
        <f t="shared" si="7"/>
        <v>0</v>
      </c>
      <c r="AM16">
        <f t="shared" si="7"/>
        <v>1</v>
      </c>
      <c r="AN16">
        <f t="shared" si="7"/>
        <v>0</v>
      </c>
      <c r="AO16">
        <f t="shared" si="7"/>
        <v>22</v>
      </c>
      <c r="AP16" s="82">
        <f t="shared" si="7"/>
        <v>38</v>
      </c>
      <c r="AQ16">
        <f t="shared" si="7"/>
        <v>51</v>
      </c>
      <c r="AR16">
        <f t="shared" si="7"/>
        <v>0</v>
      </c>
      <c r="AS16" s="82">
        <f t="shared" si="7"/>
        <v>51</v>
      </c>
      <c r="AT16">
        <f t="shared" si="7"/>
        <v>7</v>
      </c>
      <c r="AU16">
        <f t="shared" si="7"/>
        <v>0</v>
      </c>
      <c r="AV16">
        <f t="shared" si="7"/>
        <v>2</v>
      </c>
      <c r="AW16">
        <f t="shared" si="7"/>
        <v>0</v>
      </c>
      <c r="AX16">
        <f t="shared" si="7"/>
        <v>0</v>
      </c>
      <c r="AY16">
        <f t="shared" si="7"/>
        <v>0</v>
      </c>
      <c r="AZ16">
        <f t="shared" si="7"/>
        <v>0</v>
      </c>
      <c r="BA16">
        <f t="shared" si="7"/>
        <v>1</v>
      </c>
      <c r="BB16">
        <f t="shared" si="7"/>
        <v>0</v>
      </c>
      <c r="BC16">
        <f t="shared" si="7"/>
        <v>151</v>
      </c>
      <c r="BD16">
        <f t="shared" si="7"/>
        <v>5</v>
      </c>
      <c r="BE16">
        <f t="shared" si="7"/>
        <v>0</v>
      </c>
      <c r="BF16">
        <f t="shared" si="7"/>
        <v>0</v>
      </c>
      <c r="BG16">
        <f t="shared" si="7"/>
        <v>19</v>
      </c>
      <c r="BH16">
        <f t="shared" si="7"/>
        <v>136</v>
      </c>
      <c r="BI16">
        <f t="shared" si="7"/>
        <v>0</v>
      </c>
      <c r="BJ16">
        <f t="shared" si="7"/>
        <v>0</v>
      </c>
      <c r="BK16">
        <f t="shared" si="7"/>
        <v>0</v>
      </c>
      <c r="BL16">
        <f t="shared" si="7"/>
        <v>0</v>
      </c>
      <c r="BM16">
        <f t="shared" si="7"/>
        <v>357</v>
      </c>
      <c r="BN16">
        <f t="shared" si="7"/>
        <v>0</v>
      </c>
      <c r="BO16">
        <f t="shared" si="7"/>
        <v>0</v>
      </c>
      <c r="BP16">
        <f t="shared" si="7"/>
        <v>2</v>
      </c>
      <c r="BQ16">
        <f t="shared" si="7"/>
        <v>0</v>
      </c>
      <c r="BR16">
        <f t="shared" si="7"/>
        <v>0</v>
      </c>
      <c r="BS16">
        <f t="shared" si="7"/>
        <v>0</v>
      </c>
      <c r="BT16">
        <f t="shared" si="7"/>
        <v>38</v>
      </c>
      <c r="BU16">
        <f>SUM(BU2:BU15)</f>
        <v>3446</v>
      </c>
      <c r="BV16">
        <f t="shared" si="1"/>
        <v>2737</v>
      </c>
      <c r="BW16">
        <f t="shared" si="2"/>
        <v>352</v>
      </c>
      <c r="BY16">
        <f>SUM(BY2:BY15)</f>
        <v>151</v>
      </c>
      <c r="BZ16">
        <f>SUM(BZ2:BZ15)</f>
        <v>1685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"/>
  <sheetViews>
    <sheetView workbookViewId="0">
      <selection activeCell="H27" sqref="H27"/>
    </sheetView>
  </sheetViews>
  <sheetFormatPr baseColWidth="10" defaultRowHeight="16" x14ac:dyDescent="0.2"/>
  <cols>
    <col min="1" max="1" width="20" bestFit="1" customWidth="1"/>
  </cols>
  <sheetData>
    <row r="1" spans="1:80" x14ac:dyDescent="0.2">
      <c r="A1" t="s">
        <v>484</v>
      </c>
      <c r="B1" s="97" t="s">
        <v>581</v>
      </c>
      <c r="C1" s="98" t="s">
        <v>486</v>
      </c>
      <c r="D1" s="99" t="s">
        <v>487</v>
      </c>
      <c r="E1" s="99" t="s">
        <v>488</v>
      </c>
      <c r="F1" s="99" t="s">
        <v>489</v>
      </c>
      <c r="G1" s="99" t="s">
        <v>490</v>
      </c>
      <c r="H1" s="99" t="s">
        <v>491</v>
      </c>
      <c r="I1" s="99" t="s">
        <v>492</v>
      </c>
      <c r="J1" s="99" t="s">
        <v>493</v>
      </c>
      <c r="K1" s="99" t="s">
        <v>494</v>
      </c>
      <c r="L1" s="99" t="s">
        <v>495</v>
      </c>
      <c r="M1" s="99" t="s">
        <v>496</v>
      </c>
      <c r="N1" s="100" t="s">
        <v>497</v>
      </c>
      <c r="O1" s="99" t="s">
        <v>498</v>
      </c>
      <c r="P1" s="99" t="s">
        <v>499</v>
      </c>
      <c r="Q1" s="99" t="s">
        <v>500</v>
      </c>
      <c r="R1" s="99" t="s">
        <v>501</v>
      </c>
      <c r="S1" s="99" t="s">
        <v>502</v>
      </c>
      <c r="T1" s="99" t="s">
        <v>432</v>
      </c>
      <c r="U1" s="99" t="s">
        <v>503</v>
      </c>
      <c r="V1" s="99" t="s">
        <v>504</v>
      </c>
      <c r="W1" s="99" t="s">
        <v>505</v>
      </c>
      <c r="X1" s="99" t="s">
        <v>506</v>
      </c>
      <c r="Y1" s="99" t="s">
        <v>507</v>
      </c>
      <c r="Z1" s="99" t="s">
        <v>508</v>
      </c>
      <c r="AA1" s="99" t="s">
        <v>509</v>
      </c>
      <c r="AB1" s="99" t="s">
        <v>510</v>
      </c>
      <c r="AC1" s="99" t="s">
        <v>511</v>
      </c>
      <c r="AD1" s="99" t="s">
        <v>512</v>
      </c>
      <c r="AE1" s="99" t="s">
        <v>513</v>
      </c>
      <c r="AF1" s="99" t="s">
        <v>514</v>
      </c>
      <c r="AG1" s="100" t="s">
        <v>515</v>
      </c>
      <c r="AH1" s="99" t="s">
        <v>516</v>
      </c>
      <c r="AI1" s="99" t="s">
        <v>517</v>
      </c>
      <c r="AJ1" s="99" t="s">
        <v>518</v>
      </c>
      <c r="AK1" s="99" t="s">
        <v>519</v>
      </c>
      <c r="AL1" s="99" t="s">
        <v>520</v>
      </c>
      <c r="AM1" s="99" t="s">
        <v>521</v>
      </c>
      <c r="AN1" s="99" t="s">
        <v>522</v>
      </c>
      <c r="AO1" s="101" t="s">
        <v>523</v>
      </c>
      <c r="AP1" s="102" t="s">
        <v>524</v>
      </c>
      <c r="AQ1" s="103" t="s">
        <v>525</v>
      </c>
      <c r="AR1" s="103" t="s">
        <v>526</v>
      </c>
      <c r="AS1" s="102" t="s">
        <v>527</v>
      </c>
      <c r="AT1" s="98" t="s">
        <v>528</v>
      </c>
      <c r="AU1" s="99" t="s">
        <v>529</v>
      </c>
      <c r="AV1" s="99" t="s">
        <v>636</v>
      </c>
      <c r="AW1" s="99" t="s">
        <v>555</v>
      </c>
      <c r="AX1" s="104" t="s">
        <v>531</v>
      </c>
      <c r="AY1" s="104" t="s">
        <v>532</v>
      </c>
      <c r="AZ1" s="104" t="s">
        <v>533</v>
      </c>
      <c r="BA1" s="104" t="s">
        <v>534</v>
      </c>
      <c r="BB1" s="104" t="s">
        <v>535</v>
      </c>
      <c r="BC1" s="104" t="s">
        <v>536</v>
      </c>
      <c r="BD1" s="104" t="s">
        <v>537</v>
      </c>
      <c r="BE1" s="104" t="s">
        <v>637</v>
      </c>
      <c r="BF1" s="104" t="s">
        <v>538</v>
      </c>
      <c r="BG1" s="104" t="s">
        <v>539</v>
      </c>
      <c r="BH1" s="104" t="s">
        <v>540</v>
      </c>
      <c r="BI1" s="104" t="s">
        <v>541</v>
      </c>
      <c r="BJ1" s="104" t="s">
        <v>542</v>
      </c>
      <c r="BK1" s="104" t="s">
        <v>543</v>
      </c>
      <c r="BL1" s="104" t="s">
        <v>544</v>
      </c>
      <c r="BM1" s="104" t="s">
        <v>545</v>
      </c>
      <c r="BN1" s="104" t="s">
        <v>546</v>
      </c>
      <c r="BO1" s="104" t="s">
        <v>585</v>
      </c>
      <c r="BP1" s="104" t="s">
        <v>548</v>
      </c>
      <c r="BQ1" s="104" t="s">
        <v>549</v>
      </c>
      <c r="BR1" s="104" t="s">
        <v>550</v>
      </c>
      <c r="BS1" s="104" t="s">
        <v>551</v>
      </c>
      <c r="BT1" s="104" t="s">
        <v>552</v>
      </c>
      <c r="BU1" s="105" t="s">
        <v>553</v>
      </c>
      <c r="BV1" s="105" t="s">
        <v>396</v>
      </c>
      <c r="BW1" s="105" t="s">
        <v>5</v>
      </c>
      <c r="BX1" s="105" t="s">
        <v>638</v>
      </c>
      <c r="BY1" s="106" t="s">
        <v>556</v>
      </c>
      <c r="BZ1" s="106" t="s">
        <v>557</v>
      </c>
      <c r="CA1" s="107" t="s">
        <v>639</v>
      </c>
      <c r="CB1" s="107" t="s">
        <v>640</v>
      </c>
    </row>
    <row r="2" spans="1:80" x14ac:dyDescent="0.2">
      <c r="A2" t="s">
        <v>641</v>
      </c>
      <c r="B2" s="108">
        <v>0</v>
      </c>
      <c r="C2" s="109">
        <v>5</v>
      </c>
      <c r="D2" s="109">
        <v>0</v>
      </c>
      <c r="E2" s="109">
        <v>1</v>
      </c>
      <c r="F2" s="109">
        <v>2</v>
      </c>
      <c r="G2" s="109">
        <v>0</v>
      </c>
      <c r="H2" s="109">
        <v>0</v>
      </c>
      <c r="I2" s="109">
        <v>0</v>
      </c>
      <c r="J2" s="109">
        <v>0</v>
      </c>
      <c r="K2" s="109">
        <v>0</v>
      </c>
      <c r="L2" s="109">
        <v>0</v>
      </c>
      <c r="M2" s="109">
        <v>0</v>
      </c>
      <c r="N2" s="110">
        <v>3</v>
      </c>
      <c r="O2" s="109">
        <v>1</v>
      </c>
      <c r="P2" s="109">
        <v>40</v>
      </c>
      <c r="Q2" s="109">
        <v>5</v>
      </c>
      <c r="R2" s="109">
        <v>0</v>
      </c>
      <c r="S2" s="109">
        <v>0</v>
      </c>
      <c r="T2" s="109">
        <v>0</v>
      </c>
      <c r="U2" s="109">
        <v>1</v>
      </c>
      <c r="V2" s="109">
        <v>0</v>
      </c>
      <c r="W2" s="109">
        <v>0</v>
      </c>
      <c r="X2" s="109">
        <v>0</v>
      </c>
      <c r="Y2" s="109">
        <v>45</v>
      </c>
      <c r="Z2" s="109">
        <v>0</v>
      </c>
      <c r="AA2" s="109">
        <v>0</v>
      </c>
      <c r="AB2" s="109">
        <v>1</v>
      </c>
      <c r="AC2" s="109">
        <v>0</v>
      </c>
      <c r="AD2" s="109">
        <v>0</v>
      </c>
      <c r="AE2" s="109">
        <v>0</v>
      </c>
      <c r="AF2" s="109">
        <v>0</v>
      </c>
      <c r="AG2" s="110">
        <v>1</v>
      </c>
      <c r="AH2" s="109">
        <v>0</v>
      </c>
      <c r="AI2" s="109">
        <v>0</v>
      </c>
      <c r="AJ2" s="109">
        <v>0</v>
      </c>
      <c r="AK2" s="109">
        <v>0</v>
      </c>
      <c r="AL2" s="109">
        <v>0</v>
      </c>
      <c r="AM2" s="109">
        <v>0</v>
      </c>
      <c r="AN2" s="109">
        <v>0</v>
      </c>
      <c r="AO2" s="109">
        <v>3</v>
      </c>
      <c r="AP2" s="110">
        <v>3</v>
      </c>
      <c r="AQ2" s="109">
        <v>12</v>
      </c>
      <c r="AR2" s="109">
        <v>0</v>
      </c>
      <c r="AS2" s="110">
        <v>12</v>
      </c>
      <c r="AT2" s="109">
        <v>0</v>
      </c>
      <c r="AU2" s="109">
        <v>0</v>
      </c>
      <c r="AV2" s="109">
        <v>0</v>
      </c>
      <c r="AW2" s="109"/>
      <c r="AX2" s="109">
        <v>0</v>
      </c>
      <c r="AY2" s="109">
        <v>0</v>
      </c>
      <c r="AZ2" s="109">
        <v>0</v>
      </c>
      <c r="BA2" s="109">
        <v>0</v>
      </c>
      <c r="BB2" s="109">
        <v>0</v>
      </c>
      <c r="BC2" s="109">
        <v>0</v>
      </c>
      <c r="BD2" s="109">
        <v>9</v>
      </c>
      <c r="BE2" s="109">
        <v>4</v>
      </c>
      <c r="BF2" s="109">
        <v>0</v>
      </c>
      <c r="BG2" s="109">
        <v>0</v>
      </c>
      <c r="BH2" s="109">
        <v>0</v>
      </c>
      <c r="BI2" s="109">
        <v>0</v>
      </c>
      <c r="BJ2" s="109">
        <v>0</v>
      </c>
      <c r="BK2" s="109">
        <v>0</v>
      </c>
      <c r="BL2" s="109">
        <v>0</v>
      </c>
      <c r="BM2" s="109">
        <v>0</v>
      </c>
      <c r="BN2" s="109">
        <v>0</v>
      </c>
      <c r="BO2" s="109">
        <v>14</v>
      </c>
      <c r="BP2" s="109">
        <v>0</v>
      </c>
      <c r="BQ2" s="109">
        <v>0</v>
      </c>
      <c r="BR2" s="109">
        <v>0</v>
      </c>
      <c r="BS2" s="109">
        <v>0</v>
      </c>
      <c r="BT2" s="109">
        <v>0</v>
      </c>
      <c r="BU2" s="111">
        <v>0</v>
      </c>
      <c r="BV2" s="111">
        <v>6</v>
      </c>
      <c r="BW2" s="111">
        <v>13</v>
      </c>
      <c r="BX2" s="111"/>
      <c r="BY2" s="97">
        <v>162</v>
      </c>
      <c r="BZ2" s="97">
        <v>116</v>
      </c>
      <c r="CA2" s="97">
        <v>22</v>
      </c>
      <c r="CB2" s="97">
        <v>33</v>
      </c>
    </row>
    <row r="3" spans="1:80" x14ac:dyDescent="0.2">
      <c r="A3" t="s">
        <v>642</v>
      </c>
      <c r="B3" s="112">
        <v>5</v>
      </c>
      <c r="C3" s="111">
        <v>6</v>
      </c>
      <c r="D3" s="111">
        <v>0</v>
      </c>
      <c r="E3" s="111">
        <v>0</v>
      </c>
      <c r="F3" s="111">
        <v>15</v>
      </c>
      <c r="G3" s="111">
        <v>0</v>
      </c>
      <c r="H3" s="111">
        <v>0</v>
      </c>
      <c r="I3" s="111">
        <v>0</v>
      </c>
      <c r="J3" s="111">
        <v>0</v>
      </c>
      <c r="K3" s="111">
        <v>0</v>
      </c>
      <c r="L3" s="111">
        <v>0</v>
      </c>
      <c r="M3" s="111">
        <v>0</v>
      </c>
      <c r="N3" s="113">
        <v>15</v>
      </c>
      <c r="O3" s="111">
        <v>2</v>
      </c>
      <c r="P3" s="111">
        <v>90</v>
      </c>
      <c r="Q3" s="111">
        <v>11</v>
      </c>
      <c r="R3" s="111">
        <v>0</v>
      </c>
      <c r="S3" s="111">
        <v>0</v>
      </c>
      <c r="T3" s="111">
        <v>0</v>
      </c>
      <c r="U3" s="111">
        <v>0</v>
      </c>
      <c r="V3" s="111">
        <v>0</v>
      </c>
      <c r="W3" s="111">
        <v>0</v>
      </c>
      <c r="X3" s="111">
        <v>0</v>
      </c>
      <c r="Y3" s="111">
        <v>70</v>
      </c>
      <c r="Z3" s="111">
        <v>0</v>
      </c>
      <c r="AA3" s="111">
        <v>0</v>
      </c>
      <c r="AB3" s="111">
        <v>0</v>
      </c>
      <c r="AC3" s="111">
        <v>0</v>
      </c>
      <c r="AD3" s="111">
        <v>0</v>
      </c>
      <c r="AE3" s="111">
        <v>0</v>
      </c>
      <c r="AF3" s="111">
        <v>0</v>
      </c>
      <c r="AG3" s="113">
        <v>0</v>
      </c>
      <c r="AH3" s="111">
        <v>0</v>
      </c>
      <c r="AI3" s="111">
        <v>1</v>
      </c>
      <c r="AJ3" s="111">
        <v>0</v>
      </c>
      <c r="AK3" s="111">
        <v>1</v>
      </c>
      <c r="AL3" s="111">
        <v>0</v>
      </c>
      <c r="AM3" s="111">
        <v>1</v>
      </c>
      <c r="AN3" s="111">
        <v>0</v>
      </c>
      <c r="AO3" s="111">
        <v>11</v>
      </c>
      <c r="AP3" s="113">
        <v>13</v>
      </c>
      <c r="AQ3" s="111">
        <v>71</v>
      </c>
      <c r="AR3" s="111">
        <v>0</v>
      </c>
      <c r="AS3" s="113">
        <v>71</v>
      </c>
      <c r="AT3" s="111">
        <v>0</v>
      </c>
      <c r="AU3" s="111">
        <v>0</v>
      </c>
      <c r="AV3" s="111">
        <v>0</v>
      </c>
      <c r="AW3" s="111"/>
      <c r="AX3" s="111">
        <v>0</v>
      </c>
      <c r="AY3" s="111">
        <v>0</v>
      </c>
      <c r="AZ3" s="111">
        <v>0</v>
      </c>
      <c r="BA3" s="111">
        <v>0</v>
      </c>
      <c r="BB3" s="111">
        <v>0</v>
      </c>
      <c r="BC3" s="111">
        <v>0</v>
      </c>
      <c r="BD3" s="111">
        <v>17</v>
      </c>
      <c r="BE3" s="111">
        <v>7</v>
      </c>
      <c r="BF3" s="111">
        <v>0</v>
      </c>
      <c r="BG3" s="111">
        <v>0</v>
      </c>
      <c r="BH3" s="111">
        <v>0</v>
      </c>
      <c r="BI3" s="111">
        <v>0</v>
      </c>
      <c r="BJ3" s="111">
        <v>0</v>
      </c>
      <c r="BK3" s="111">
        <v>0</v>
      </c>
      <c r="BL3" s="111">
        <v>0</v>
      </c>
      <c r="BM3" s="111">
        <v>0</v>
      </c>
      <c r="BN3" s="111">
        <v>0</v>
      </c>
      <c r="BO3" s="111">
        <v>30</v>
      </c>
      <c r="BP3" s="111">
        <v>0</v>
      </c>
      <c r="BQ3" s="111">
        <v>0</v>
      </c>
      <c r="BR3" s="111">
        <v>0</v>
      </c>
      <c r="BS3" s="111">
        <v>0</v>
      </c>
      <c r="BT3" s="111">
        <v>0</v>
      </c>
      <c r="BU3" s="111">
        <v>3</v>
      </c>
      <c r="BV3" s="111">
        <v>0</v>
      </c>
      <c r="BW3" s="111">
        <v>0</v>
      </c>
      <c r="BX3" s="111"/>
      <c r="BY3" s="97">
        <v>336</v>
      </c>
      <c r="BZ3" s="97">
        <v>279</v>
      </c>
      <c r="CA3" s="97">
        <v>95</v>
      </c>
      <c r="CB3" s="97">
        <v>57</v>
      </c>
    </row>
    <row r="4" spans="1:80" x14ac:dyDescent="0.2">
      <c r="A4" t="s">
        <v>643</v>
      </c>
      <c r="B4" s="112">
        <v>10</v>
      </c>
      <c r="C4" s="111">
        <v>7</v>
      </c>
      <c r="D4" s="111">
        <v>0</v>
      </c>
      <c r="E4" s="111">
        <v>1</v>
      </c>
      <c r="F4" s="111">
        <v>9</v>
      </c>
      <c r="G4" s="111">
        <v>0</v>
      </c>
      <c r="H4" s="111">
        <v>0</v>
      </c>
      <c r="I4" s="111">
        <v>0</v>
      </c>
      <c r="J4" s="111">
        <v>0</v>
      </c>
      <c r="K4" s="111">
        <v>0</v>
      </c>
      <c r="L4" s="111">
        <v>0</v>
      </c>
      <c r="M4" s="111">
        <v>0</v>
      </c>
      <c r="N4" s="113">
        <v>10</v>
      </c>
      <c r="O4" s="111">
        <v>0</v>
      </c>
      <c r="P4" s="111">
        <v>47</v>
      </c>
      <c r="Q4" s="111">
        <v>2</v>
      </c>
      <c r="R4" s="111">
        <v>0</v>
      </c>
      <c r="S4" s="111">
        <v>0</v>
      </c>
      <c r="T4" s="111">
        <v>0</v>
      </c>
      <c r="U4" s="111">
        <v>1</v>
      </c>
      <c r="V4" s="111">
        <v>0</v>
      </c>
      <c r="W4" s="111">
        <v>0</v>
      </c>
      <c r="X4" s="111">
        <v>0</v>
      </c>
      <c r="Y4" s="111">
        <v>46</v>
      </c>
      <c r="Z4" s="111">
        <v>0</v>
      </c>
      <c r="AA4" s="111">
        <v>0</v>
      </c>
      <c r="AB4" s="111">
        <v>0</v>
      </c>
      <c r="AC4" s="111">
        <v>0</v>
      </c>
      <c r="AD4" s="111">
        <v>0</v>
      </c>
      <c r="AE4" s="111">
        <v>0</v>
      </c>
      <c r="AF4" s="111">
        <v>0</v>
      </c>
      <c r="AG4" s="113">
        <v>0</v>
      </c>
      <c r="AH4" s="111">
        <v>0</v>
      </c>
      <c r="AI4" s="111">
        <v>10</v>
      </c>
      <c r="AJ4" s="111">
        <v>0</v>
      </c>
      <c r="AK4" s="111">
        <v>0</v>
      </c>
      <c r="AL4" s="111">
        <v>0</v>
      </c>
      <c r="AM4" s="111">
        <v>0</v>
      </c>
      <c r="AN4" s="111">
        <v>0</v>
      </c>
      <c r="AO4" s="111">
        <v>7</v>
      </c>
      <c r="AP4" s="113">
        <v>7</v>
      </c>
      <c r="AQ4" s="111">
        <v>25</v>
      </c>
      <c r="AR4" s="111">
        <v>0</v>
      </c>
      <c r="AS4" s="113">
        <v>25</v>
      </c>
      <c r="AT4" s="111">
        <v>0</v>
      </c>
      <c r="AU4" s="111">
        <v>0</v>
      </c>
      <c r="AV4" s="111">
        <v>0</v>
      </c>
      <c r="AW4" s="111"/>
      <c r="AX4" s="111">
        <v>0</v>
      </c>
      <c r="AY4" s="111">
        <v>0</v>
      </c>
      <c r="AZ4" s="111">
        <v>0</v>
      </c>
      <c r="BA4" s="111">
        <v>0</v>
      </c>
      <c r="BB4" s="111">
        <v>0</v>
      </c>
      <c r="BC4" s="111">
        <v>0</v>
      </c>
      <c r="BD4" s="111">
        <v>18</v>
      </c>
      <c r="BE4" s="111">
        <v>24</v>
      </c>
      <c r="BF4" s="111">
        <v>0</v>
      </c>
      <c r="BG4" s="111">
        <v>0</v>
      </c>
      <c r="BH4" s="111">
        <v>0</v>
      </c>
      <c r="BI4" s="111">
        <v>0</v>
      </c>
      <c r="BJ4" s="111">
        <v>0</v>
      </c>
      <c r="BK4" s="111">
        <v>0</v>
      </c>
      <c r="BL4" s="111">
        <v>0</v>
      </c>
      <c r="BM4" s="111">
        <v>0</v>
      </c>
      <c r="BN4" s="111">
        <v>0</v>
      </c>
      <c r="BO4" s="111">
        <v>27</v>
      </c>
      <c r="BP4" s="111">
        <v>0</v>
      </c>
      <c r="BQ4" s="111">
        <v>0</v>
      </c>
      <c r="BR4" s="111">
        <v>0</v>
      </c>
      <c r="BS4" s="111">
        <v>0</v>
      </c>
      <c r="BT4" s="111">
        <v>0</v>
      </c>
      <c r="BU4" s="111">
        <v>0</v>
      </c>
      <c r="BV4" s="111">
        <v>2</v>
      </c>
      <c r="BW4" s="111">
        <v>0</v>
      </c>
      <c r="BX4" s="111">
        <v>1</v>
      </c>
      <c r="BY4" s="97">
        <v>227</v>
      </c>
      <c r="BZ4" s="97">
        <v>155</v>
      </c>
      <c r="CA4" s="97">
        <v>52</v>
      </c>
      <c r="CB4" s="97">
        <v>71</v>
      </c>
    </row>
    <row r="5" spans="1:80" x14ac:dyDescent="0.2">
      <c r="A5" t="s">
        <v>644</v>
      </c>
      <c r="B5" s="112">
        <v>15</v>
      </c>
      <c r="C5" s="111">
        <v>2</v>
      </c>
      <c r="D5" s="111">
        <v>0</v>
      </c>
      <c r="E5" s="111">
        <v>0</v>
      </c>
      <c r="F5" s="111">
        <v>3</v>
      </c>
      <c r="G5" s="111">
        <v>0</v>
      </c>
      <c r="H5" s="111">
        <v>0</v>
      </c>
      <c r="I5" s="111">
        <v>0</v>
      </c>
      <c r="J5" s="111">
        <v>0</v>
      </c>
      <c r="K5" s="111">
        <v>0</v>
      </c>
      <c r="L5" s="111">
        <v>0</v>
      </c>
      <c r="M5" s="111">
        <v>0</v>
      </c>
      <c r="N5" s="113">
        <v>3</v>
      </c>
      <c r="O5" s="111">
        <v>0</v>
      </c>
      <c r="P5" s="111">
        <v>39</v>
      </c>
      <c r="Q5" s="111">
        <v>0</v>
      </c>
      <c r="R5" s="111">
        <v>0</v>
      </c>
      <c r="S5" s="111">
        <v>0</v>
      </c>
      <c r="T5" s="111">
        <v>0</v>
      </c>
      <c r="U5" s="111">
        <v>0</v>
      </c>
      <c r="V5" s="111">
        <v>0</v>
      </c>
      <c r="W5" s="111">
        <v>0</v>
      </c>
      <c r="X5" s="111">
        <v>0</v>
      </c>
      <c r="Y5" s="111">
        <v>40</v>
      </c>
      <c r="Z5" s="111">
        <v>0</v>
      </c>
      <c r="AA5" s="111">
        <v>0</v>
      </c>
      <c r="AB5" s="111">
        <v>0</v>
      </c>
      <c r="AC5" s="111">
        <v>0</v>
      </c>
      <c r="AD5" s="111">
        <v>0</v>
      </c>
      <c r="AE5" s="111">
        <v>0</v>
      </c>
      <c r="AF5" s="111">
        <v>0</v>
      </c>
      <c r="AG5" s="113">
        <v>0</v>
      </c>
      <c r="AH5" s="111">
        <v>0</v>
      </c>
      <c r="AI5" s="111">
        <v>6</v>
      </c>
      <c r="AJ5" s="111">
        <v>0</v>
      </c>
      <c r="AK5" s="111">
        <v>1</v>
      </c>
      <c r="AL5" s="111">
        <v>0</v>
      </c>
      <c r="AM5" s="111">
        <v>0</v>
      </c>
      <c r="AN5" s="111">
        <v>0</v>
      </c>
      <c r="AO5" s="111">
        <v>8</v>
      </c>
      <c r="AP5" s="113">
        <v>9</v>
      </c>
      <c r="AQ5" s="111">
        <v>55</v>
      </c>
      <c r="AR5" s="111">
        <v>0</v>
      </c>
      <c r="AS5" s="113">
        <v>55</v>
      </c>
      <c r="AT5" s="111">
        <v>0</v>
      </c>
      <c r="AU5" s="111">
        <v>0</v>
      </c>
      <c r="AV5" s="111">
        <v>0</v>
      </c>
      <c r="AW5" s="111"/>
      <c r="AX5" s="111">
        <v>0</v>
      </c>
      <c r="AY5" s="111">
        <v>0</v>
      </c>
      <c r="AZ5" s="111">
        <v>0</v>
      </c>
      <c r="BA5" s="111">
        <v>0</v>
      </c>
      <c r="BB5" s="111">
        <v>0</v>
      </c>
      <c r="BC5" s="111">
        <v>0</v>
      </c>
      <c r="BD5" s="111">
        <v>23</v>
      </c>
      <c r="BE5" s="111">
        <v>5</v>
      </c>
      <c r="BF5" s="111">
        <v>0</v>
      </c>
      <c r="BG5" s="111">
        <v>0</v>
      </c>
      <c r="BH5" s="111">
        <v>0</v>
      </c>
      <c r="BI5" s="111">
        <v>2</v>
      </c>
      <c r="BJ5" s="111">
        <v>0</v>
      </c>
      <c r="BK5" s="111">
        <v>0</v>
      </c>
      <c r="BL5" s="111">
        <v>0</v>
      </c>
      <c r="BM5" s="111">
        <v>0</v>
      </c>
      <c r="BN5" s="111">
        <v>0</v>
      </c>
      <c r="BO5" s="111">
        <v>25</v>
      </c>
      <c r="BP5" s="111">
        <v>0</v>
      </c>
      <c r="BQ5" s="111">
        <v>0</v>
      </c>
      <c r="BR5" s="111">
        <v>0</v>
      </c>
      <c r="BS5" s="111">
        <v>0</v>
      </c>
      <c r="BT5" s="111">
        <v>0</v>
      </c>
      <c r="BU5" s="111">
        <v>0</v>
      </c>
      <c r="BV5" s="111">
        <v>2</v>
      </c>
      <c r="BW5" s="111">
        <v>0</v>
      </c>
      <c r="BX5" s="111">
        <v>1</v>
      </c>
      <c r="BY5" s="97">
        <v>212</v>
      </c>
      <c r="BZ5" s="97">
        <v>154</v>
      </c>
      <c r="CA5" s="97">
        <v>66</v>
      </c>
      <c r="CB5" s="97">
        <v>57</v>
      </c>
    </row>
    <row r="6" spans="1:80" x14ac:dyDescent="0.2">
      <c r="A6" t="s">
        <v>645</v>
      </c>
      <c r="B6" s="112">
        <v>20</v>
      </c>
      <c r="C6" s="111">
        <v>5</v>
      </c>
      <c r="D6" s="111">
        <v>0</v>
      </c>
      <c r="E6" s="111">
        <v>0</v>
      </c>
      <c r="F6" s="111">
        <v>3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3">
        <v>3</v>
      </c>
      <c r="O6" s="111">
        <v>0</v>
      </c>
      <c r="P6" s="111">
        <v>45</v>
      </c>
      <c r="Q6" s="111">
        <v>4</v>
      </c>
      <c r="R6" s="111">
        <v>0</v>
      </c>
      <c r="S6" s="111">
        <v>0</v>
      </c>
      <c r="T6" s="111">
        <v>0</v>
      </c>
      <c r="U6" s="111">
        <v>2</v>
      </c>
      <c r="V6" s="111">
        <v>0</v>
      </c>
      <c r="W6" s="111">
        <v>0</v>
      </c>
      <c r="X6" s="111">
        <v>0</v>
      </c>
      <c r="Y6" s="111">
        <v>43</v>
      </c>
      <c r="Z6" s="111">
        <v>0</v>
      </c>
      <c r="AA6" s="111">
        <v>0</v>
      </c>
      <c r="AB6" s="111">
        <v>0</v>
      </c>
      <c r="AC6" s="111">
        <v>0</v>
      </c>
      <c r="AD6" s="111">
        <v>0</v>
      </c>
      <c r="AE6" s="111">
        <v>0</v>
      </c>
      <c r="AF6" s="111">
        <v>3</v>
      </c>
      <c r="AG6" s="113">
        <v>3</v>
      </c>
      <c r="AH6" s="111">
        <v>0</v>
      </c>
      <c r="AI6" s="111">
        <v>2</v>
      </c>
      <c r="AJ6" s="111">
        <v>0</v>
      </c>
      <c r="AK6" s="111">
        <v>0</v>
      </c>
      <c r="AL6" s="111">
        <v>0</v>
      </c>
      <c r="AM6" s="111">
        <v>0</v>
      </c>
      <c r="AN6" s="111">
        <v>0</v>
      </c>
      <c r="AO6" s="111">
        <v>11</v>
      </c>
      <c r="AP6" s="113">
        <v>11</v>
      </c>
      <c r="AQ6" s="111">
        <v>29</v>
      </c>
      <c r="AR6" s="111">
        <v>0</v>
      </c>
      <c r="AS6" s="113">
        <v>29</v>
      </c>
      <c r="AT6" s="111">
        <v>0</v>
      </c>
      <c r="AU6" s="111">
        <v>0</v>
      </c>
      <c r="AV6" s="111">
        <v>1</v>
      </c>
      <c r="AW6" s="111"/>
      <c r="AX6" s="111">
        <v>0</v>
      </c>
      <c r="AY6" s="111">
        <v>0</v>
      </c>
      <c r="AZ6" s="111">
        <v>0</v>
      </c>
      <c r="BA6" s="111">
        <v>0</v>
      </c>
      <c r="BB6" s="111">
        <v>0</v>
      </c>
      <c r="BC6" s="111">
        <v>0</v>
      </c>
      <c r="BD6" s="111">
        <v>13</v>
      </c>
      <c r="BE6" s="111">
        <v>2</v>
      </c>
      <c r="BF6" s="111">
        <v>0</v>
      </c>
      <c r="BG6" s="111">
        <v>0</v>
      </c>
      <c r="BH6" s="111">
        <v>0</v>
      </c>
      <c r="BI6" s="111">
        <v>3</v>
      </c>
      <c r="BJ6" s="111">
        <v>0</v>
      </c>
      <c r="BK6" s="111">
        <v>0</v>
      </c>
      <c r="BL6" s="111">
        <v>0</v>
      </c>
      <c r="BM6" s="111">
        <v>0</v>
      </c>
      <c r="BN6" s="111">
        <v>0</v>
      </c>
      <c r="BO6" s="111">
        <v>14</v>
      </c>
      <c r="BP6" s="111">
        <v>0</v>
      </c>
      <c r="BQ6" s="111">
        <v>0</v>
      </c>
      <c r="BR6" s="111">
        <v>0</v>
      </c>
      <c r="BS6" s="111">
        <v>0</v>
      </c>
      <c r="BT6" s="111">
        <v>0</v>
      </c>
      <c r="BU6" s="111">
        <v>0</v>
      </c>
      <c r="BV6" s="111">
        <v>0</v>
      </c>
      <c r="BW6" s="111">
        <v>4</v>
      </c>
      <c r="BX6" s="111"/>
      <c r="BY6" s="97">
        <v>184</v>
      </c>
      <c r="BZ6" s="97">
        <v>147</v>
      </c>
      <c r="CA6" s="97">
        <v>42</v>
      </c>
      <c r="CB6" s="97">
        <v>32</v>
      </c>
    </row>
    <row r="7" spans="1:80" x14ac:dyDescent="0.2">
      <c r="A7" t="s">
        <v>646</v>
      </c>
      <c r="B7" s="112">
        <v>25</v>
      </c>
      <c r="C7" s="111">
        <v>8</v>
      </c>
      <c r="D7" s="111">
        <v>0</v>
      </c>
      <c r="E7" s="111">
        <v>3</v>
      </c>
      <c r="F7" s="111">
        <v>17</v>
      </c>
      <c r="G7" s="111">
        <v>0</v>
      </c>
      <c r="H7" s="111">
        <v>0</v>
      </c>
      <c r="I7" s="111">
        <v>0</v>
      </c>
      <c r="J7" s="111">
        <v>0</v>
      </c>
      <c r="K7" s="111">
        <v>1</v>
      </c>
      <c r="L7" s="111">
        <v>0</v>
      </c>
      <c r="M7" s="111">
        <v>0</v>
      </c>
      <c r="N7" s="113">
        <v>21</v>
      </c>
      <c r="O7" s="111">
        <v>4</v>
      </c>
      <c r="P7" s="111">
        <v>103</v>
      </c>
      <c r="Q7" s="111">
        <v>16</v>
      </c>
      <c r="R7" s="111">
        <v>0</v>
      </c>
      <c r="S7" s="111">
        <v>0</v>
      </c>
      <c r="T7" s="111">
        <v>0</v>
      </c>
      <c r="U7" s="111">
        <v>2</v>
      </c>
      <c r="V7" s="111">
        <v>0</v>
      </c>
      <c r="W7" s="111">
        <v>0</v>
      </c>
      <c r="X7" s="111">
        <v>0</v>
      </c>
      <c r="Y7" s="111">
        <v>82</v>
      </c>
      <c r="Z7" s="111">
        <v>0</v>
      </c>
      <c r="AA7" s="111">
        <v>0</v>
      </c>
      <c r="AB7" s="111">
        <v>2</v>
      </c>
      <c r="AC7" s="111">
        <v>0</v>
      </c>
      <c r="AD7" s="111">
        <v>0</v>
      </c>
      <c r="AE7" s="111">
        <v>0</v>
      </c>
      <c r="AF7" s="111">
        <v>0</v>
      </c>
      <c r="AG7" s="113">
        <v>2</v>
      </c>
      <c r="AH7" s="111">
        <v>0</v>
      </c>
      <c r="AI7" s="111">
        <v>5</v>
      </c>
      <c r="AJ7" s="111">
        <v>0</v>
      </c>
      <c r="AK7" s="111">
        <v>1</v>
      </c>
      <c r="AL7" s="111">
        <v>0</v>
      </c>
      <c r="AM7" s="111">
        <v>2</v>
      </c>
      <c r="AN7" s="111">
        <v>0</v>
      </c>
      <c r="AO7" s="111">
        <v>17</v>
      </c>
      <c r="AP7" s="113">
        <v>20</v>
      </c>
      <c r="AQ7" s="111">
        <v>117</v>
      </c>
      <c r="AR7" s="111">
        <v>0</v>
      </c>
      <c r="AS7" s="113">
        <v>117</v>
      </c>
      <c r="AT7" s="111">
        <v>0</v>
      </c>
      <c r="AU7" s="111">
        <v>0</v>
      </c>
      <c r="AV7" s="111">
        <v>4</v>
      </c>
      <c r="AW7" s="111">
        <v>3</v>
      </c>
      <c r="AX7" s="111">
        <v>0</v>
      </c>
      <c r="AY7" s="111">
        <v>0</v>
      </c>
      <c r="AZ7" s="111">
        <v>1</v>
      </c>
      <c r="BA7" s="111">
        <v>0</v>
      </c>
      <c r="BB7" s="111">
        <v>0</v>
      </c>
      <c r="BC7" s="111">
        <v>0</v>
      </c>
      <c r="BD7" s="111">
        <v>8</v>
      </c>
      <c r="BE7" s="111">
        <v>2</v>
      </c>
      <c r="BF7" s="111">
        <v>0</v>
      </c>
      <c r="BG7" s="111">
        <v>0</v>
      </c>
      <c r="BH7" s="111">
        <v>0</v>
      </c>
      <c r="BI7" s="111">
        <v>0</v>
      </c>
      <c r="BJ7" s="111">
        <v>0</v>
      </c>
      <c r="BK7" s="111">
        <v>0</v>
      </c>
      <c r="BL7" s="111">
        <v>0</v>
      </c>
      <c r="BM7" s="111">
        <v>0</v>
      </c>
      <c r="BN7" s="111">
        <v>0</v>
      </c>
      <c r="BO7" s="111">
        <v>48</v>
      </c>
      <c r="BP7" s="111">
        <v>0</v>
      </c>
      <c r="BQ7" s="111">
        <v>0</v>
      </c>
      <c r="BR7" s="111">
        <v>0</v>
      </c>
      <c r="BS7" s="111">
        <v>0</v>
      </c>
      <c r="BT7" s="111">
        <v>0</v>
      </c>
      <c r="BU7" s="111">
        <v>2</v>
      </c>
      <c r="BV7" s="111">
        <v>2</v>
      </c>
      <c r="BW7" s="111">
        <v>0</v>
      </c>
      <c r="BX7" s="111"/>
      <c r="BY7" s="97">
        <v>450</v>
      </c>
      <c r="BZ7" s="97">
        <v>380</v>
      </c>
      <c r="CA7" s="97">
        <v>157</v>
      </c>
      <c r="CB7" s="97">
        <v>63</v>
      </c>
    </row>
    <row r="8" spans="1:80" x14ac:dyDescent="0.2">
      <c r="A8" t="s">
        <v>647</v>
      </c>
      <c r="B8" s="112">
        <v>30</v>
      </c>
      <c r="C8" s="111">
        <v>10</v>
      </c>
      <c r="D8" s="111">
        <v>0</v>
      </c>
      <c r="E8" s="111">
        <v>1</v>
      </c>
      <c r="F8" s="111">
        <v>17</v>
      </c>
      <c r="G8" s="111">
        <v>0</v>
      </c>
      <c r="H8" s="111">
        <v>0</v>
      </c>
      <c r="I8" s="111">
        <v>0</v>
      </c>
      <c r="J8" s="111">
        <v>0</v>
      </c>
      <c r="K8" s="111">
        <v>2</v>
      </c>
      <c r="L8" s="111">
        <v>0</v>
      </c>
      <c r="M8" s="111">
        <v>0</v>
      </c>
      <c r="N8" s="113">
        <v>20</v>
      </c>
      <c r="O8" s="111">
        <v>3</v>
      </c>
      <c r="P8" s="111">
        <v>92</v>
      </c>
      <c r="Q8" s="111">
        <v>12</v>
      </c>
      <c r="R8" s="111">
        <v>0</v>
      </c>
      <c r="S8" s="111">
        <v>0</v>
      </c>
      <c r="T8" s="111">
        <v>0</v>
      </c>
      <c r="U8" s="111">
        <v>1</v>
      </c>
      <c r="V8" s="111">
        <v>0</v>
      </c>
      <c r="W8" s="111">
        <v>0</v>
      </c>
      <c r="X8" s="111">
        <v>0</v>
      </c>
      <c r="Y8" s="111">
        <v>60</v>
      </c>
      <c r="Z8" s="111">
        <v>0</v>
      </c>
      <c r="AA8" s="111">
        <v>0</v>
      </c>
      <c r="AB8" s="111">
        <v>0</v>
      </c>
      <c r="AC8" s="111">
        <v>0</v>
      </c>
      <c r="AD8" s="111">
        <v>0</v>
      </c>
      <c r="AE8" s="111">
        <v>0</v>
      </c>
      <c r="AF8" s="111">
        <v>0</v>
      </c>
      <c r="AG8" s="113">
        <v>0</v>
      </c>
      <c r="AH8" s="111">
        <v>0</v>
      </c>
      <c r="AI8" s="111">
        <v>12</v>
      </c>
      <c r="AJ8" s="111">
        <v>0</v>
      </c>
      <c r="AK8" s="111">
        <v>0</v>
      </c>
      <c r="AL8" s="111">
        <v>0</v>
      </c>
      <c r="AM8" s="111">
        <v>0</v>
      </c>
      <c r="AN8" s="111">
        <v>0</v>
      </c>
      <c r="AO8" s="111">
        <v>21</v>
      </c>
      <c r="AP8" s="113">
        <v>21</v>
      </c>
      <c r="AQ8" s="111">
        <v>85</v>
      </c>
      <c r="AR8" s="111">
        <v>0</v>
      </c>
      <c r="AS8" s="113">
        <v>85</v>
      </c>
      <c r="AT8" s="111">
        <v>0</v>
      </c>
      <c r="AU8" s="111">
        <v>0</v>
      </c>
      <c r="AV8" s="111">
        <v>3</v>
      </c>
      <c r="AW8" s="111">
        <v>2</v>
      </c>
      <c r="AX8" s="111">
        <v>0</v>
      </c>
      <c r="AY8" s="111">
        <v>0</v>
      </c>
      <c r="AZ8" s="111">
        <v>0</v>
      </c>
      <c r="BA8" s="111">
        <v>0</v>
      </c>
      <c r="BB8" s="111">
        <v>0</v>
      </c>
      <c r="BC8" s="111">
        <v>0</v>
      </c>
      <c r="BD8" s="111">
        <v>11</v>
      </c>
      <c r="BE8" s="111">
        <v>6</v>
      </c>
      <c r="BF8" s="111">
        <v>0</v>
      </c>
      <c r="BG8" s="111">
        <v>0</v>
      </c>
      <c r="BH8" s="111">
        <v>0</v>
      </c>
      <c r="BI8" s="111">
        <v>0</v>
      </c>
      <c r="BJ8" s="111">
        <v>0</v>
      </c>
      <c r="BK8" s="111">
        <v>0</v>
      </c>
      <c r="BL8" s="111">
        <v>0</v>
      </c>
      <c r="BM8" s="111">
        <v>0</v>
      </c>
      <c r="BN8" s="111">
        <v>0</v>
      </c>
      <c r="BO8" s="111">
        <v>25</v>
      </c>
      <c r="BP8" s="111">
        <v>0</v>
      </c>
      <c r="BQ8" s="111">
        <v>0</v>
      </c>
      <c r="BR8" s="111">
        <v>0</v>
      </c>
      <c r="BS8" s="111">
        <v>0</v>
      </c>
      <c r="BT8" s="111">
        <v>0</v>
      </c>
      <c r="BU8" s="111">
        <v>3</v>
      </c>
      <c r="BV8" s="111">
        <v>0</v>
      </c>
      <c r="BW8" s="111">
        <v>3</v>
      </c>
      <c r="BX8" s="111"/>
      <c r="BY8" s="97">
        <v>369</v>
      </c>
      <c r="BZ8" s="97">
        <v>316</v>
      </c>
      <c r="CA8" s="97">
        <v>130</v>
      </c>
      <c r="CB8" s="97">
        <v>45</v>
      </c>
    </row>
    <row r="9" spans="1:80" x14ac:dyDescent="0.2">
      <c r="A9" t="s">
        <v>648</v>
      </c>
      <c r="B9" s="112">
        <v>35</v>
      </c>
      <c r="C9" s="111">
        <v>1</v>
      </c>
      <c r="D9" s="111">
        <v>0</v>
      </c>
      <c r="E9" s="111">
        <v>3</v>
      </c>
      <c r="F9" s="111">
        <v>7</v>
      </c>
      <c r="G9" s="111">
        <v>0</v>
      </c>
      <c r="H9" s="111">
        <v>0</v>
      </c>
      <c r="I9" s="111">
        <v>0</v>
      </c>
      <c r="J9" s="111">
        <v>0</v>
      </c>
      <c r="K9" s="111">
        <v>2</v>
      </c>
      <c r="L9" s="111">
        <v>0</v>
      </c>
      <c r="M9" s="111">
        <v>0</v>
      </c>
      <c r="N9" s="113">
        <v>12</v>
      </c>
      <c r="O9" s="111">
        <v>0</v>
      </c>
      <c r="P9" s="111">
        <v>29</v>
      </c>
      <c r="Q9" s="111">
        <v>2</v>
      </c>
      <c r="R9" s="111">
        <v>0</v>
      </c>
      <c r="S9" s="111">
        <v>0</v>
      </c>
      <c r="T9" s="111">
        <v>0</v>
      </c>
      <c r="U9" s="111">
        <v>0</v>
      </c>
      <c r="V9" s="111">
        <v>0</v>
      </c>
      <c r="W9" s="111">
        <v>0</v>
      </c>
      <c r="X9" s="111">
        <v>0</v>
      </c>
      <c r="Y9" s="111">
        <v>27</v>
      </c>
      <c r="Z9" s="111">
        <v>0</v>
      </c>
      <c r="AA9" s="111">
        <v>0</v>
      </c>
      <c r="AB9" s="111">
        <v>0</v>
      </c>
      <c r="AC9" s="111">
        <v>0</v>
      </c>
      <c r="AD9" s="111">
        <v>0</v>
      </c>
      <c r="AE9" s="111">
        <v>0</v>
      </c>
      <c r="AF9" s="111">
        <v>0</v>
      </c>
      <c r="AG9" s="113">
        <v>0</v>
      </c>
      <c r="AH9" s="111">
        <v>1</v>
      </c>
      <c r="AI9" s="111">
        <v>0</v>
      </c>
      <c r="AJ9" s="111">
        <v>0</v>
      </c>
      <c r="AK9" s="111">
        <v>0</v>
      </c>
      <c r="AL9" s="111">
        <v>0</v>
      </c>
      <c r="AM9" s="111">
        <v>0</v>
      </c>
      <c r="AN9" s="111">
        <v>0</v>
      </c>
      <c r="AO9" s="111">
        <v>10</v>
      </c>
      <c r="AP9" s="113">
        <v>10</v>
      </c>
      <c r="AQ9" s="111">
        <v>19</v>
      </c>
      <c r="AR9" s="111">
        <v>0</v>
      </c>
      <c r="AS9" s="113">
        <v>19</v>
      </c>
      <c r="AT9" s="111">
        <v>0</v>
      </c>
      <c r="AU9" s="111">
        <v>0</v>
      </c>
      <c r="AV9" s="111">
        <v>3</v>
      </c>
      <c r="AW9" s="111">
        <v>1</v>
      </c>
      <c r="AX9" s="111">
        <v>0</v>
      </c>
      <c r="AY9" s="111">
        <v>0</v>
      </c>
      <c r="AZ9" s="111">
        <v>0</v>
      </c>
      <c r="BA9" s="111">
        <v>0</v>
      </c>
      <c r="BB9" s="111">
        <v>0</v>
      </c>
      <c r="BC9" s="111">
        <v>0</v>
      </c>
      <c r="BD9" s="111">
        <v>10</v>
      </c>
      <c r="BE9" s="111">
        <v>0</v>
      </c>
      <c r="BF9" s="111">
        <v>0</v>
      </c>
      <c r="BG9" s="111">
        <v>0</v>
      </c>
      <c r="BH9" s="111">
        <v>0</v>
      </c>
      <c r="BI9" s="111">
        <v>0</v>
      </c>
      <c r="BJ9" s="111">
        <v>0</v>
      </c>
      <c r="BK9" s="111">
        <v>0</v>
      </c>
      <c r="BL9" s="111">
        <v>0</v>
      </c>
      <c r="BM9" s="111">
        <v>0</v>
      </c>
      <c r="BN9" s="111">
        <v>0</v>
      </c>
      <c r="BO9" s="111">
        <v>25</v>
      </c>
      <c r="BP9" s="111">
        <v>0</v>
      </c>
      <c r="BQ9" s="111">
        <v>0</v>
      </c>
      <c r="BR9" s="111">
        <v>0</v>
      </c>
      <c r="BS9" s="111">
        <v>0</v>
      </c>
      <c r="BT9" s="111">
        <v>0</v>
      </c>
      <c r="BU9" s="111">
        <v>0</v>
      </c>
      <c r="BV9" s="111">
        <v>0</v>
      </c>
      <c r="BW9" s="111">
        <v>2</v>
      </c>
      <c r="BX9" s="111"/>
      <c r="BY9" s="97">
        <v>142</v>
      </c>
      <c r="BZ9" s="97">
        <v>101</v>
      </c>
      <c r="CA9" s="97">
        <v>32</v>
      </c>
      <c r="CB9" s="97">
        <v>35</v>
      </c>
    </row>
    <row r="10" spans="1:80" x14ac:dyDescent="0.2">
      <c r="A10" t="s">
        <v>649</v>
      </c>
      <c r="B10" s="112">
        <v>40</v>
      </c>
      <c r="C10" s="111">
        <v>13</v>
      </c>
      <c r="D10" s="111">
        <v>0</v>
      </c>
      <c r="E10" s="111">
        <v>1</v>
      </c>
      <c r="F10" s="111">
        <v>15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3">
        <v>16</v>
      </c>
      <c r="O10" s="111">
        <v>1</v>
      </c>
      <c r="P10" s="111">
        <v>57</v>
      </c>
      <c r="Q10" s="111">
        <v>9</v>
      </c>
      <c r="R10" s="111">
        <v>0</v>
      </c>
      <c r="S10" s="111">
        <v>0</v>
      </c>
      <c r="T10" s="111">
        <v>0</v>
      </c>
      <c r="U10" s="111">
        <v>2</v>
      </c>
      <c r="V10" s="111">
        <v>0</v>
      </c>
      <c r="W10" s="111">
        <v>0</v>
      </c>
      <c r="X10" s="111">
        <v>0</v>
      </c>
      <c r="Y10" s="111">
        <v>49</v>
      </c>
      <c r="Z10" s="111">
        <v>0</v>
      </c>
      <c r="AA10" s="111">
        <v>0</v>
      </c>
      <c r="AB10" s="111">
        <v>5</v>
      </c>
      <c r="AC10" s="111">
        <v>0</v>
      </c>
      <c r="AD10" s="111">
        <v>0</v>
      </c>
      <c r="AE10" s="111">
        <v>0</v>
      </c>
      <c r="AF10" s="111">
        <v>0</v>
      </c>
      <c r="AG10" s="113">
        <v>5</v>
      </c>
      <c r="AH10" s="111">
        <v>0</v>
      </c>
      <c r="AI10" s="111">
        <v>4</v>
      </c>
      <c r="AJ10" s="111">
        <v>0</v>
      </c>
      <c r="AK10" s="111">
        <v>6</v>
      </c>
      <c r="AL10" s="111">
        <v>0</v>
      </c>
      <c r="AM10" s="111">
        <v>1</v>
      </c>
      <c r="AN10" s="111">
        <v>0</v>
      </c>
      <c r="AO10" s="111">
        <v>11</v>
      </c>
      <c r="AP10" s="113">
        <v>18</v>
      </c>
      <c r="AQ10" s="111">
        <v>46</v>
      </c>
      <c r="AR10" s="111">
        <v>0</v>
      </c>
      <c r="AS10" s="113">
        <v>46</v>
      </c>
      <c r="AT10" s="111">
        <v>0</v>
      </c>
      <c r="AU10" s="111">
        <v>0</v>
      </c>
      <c r="AV10" s="111">
        <v>0</v>
      </c>
      <c r="AW10" s="111"/>
      <c r="AX10" s="111">
        <v>0</v>
      </c>
      <c r="AY10" s="111">
        <v>0</v>
      </c>
      <c r="AZ10" s="111">
        <v>0</v>
      </c>
      <c r="BA10" s="111">
        <v>0</v>
      </c>
      <c r="BB10" s="111">
        <v>0</v>
      </c>
      <c r="BC10" s="111">
        <v>0</v>
      </c>
      <c r="BD10" s="111">
        <v>9</v>
      </c>
      <c r="BE10" s="111">
        <v>1</v>
      </c>
      <c r="BF10" s="111">
        <v>0</v>
      </c>
      <c r="BG10" s="111">
        <v>0</v>
      </c>
      <c r="BH10" s="111">
        <v>0</v>
      </c>
      <c r="BI10" s="111">
        <v>0</v>
      </c>
      <c r="BJ10" s="111">
        <v>0</v>
      </c>
      <c r="BK10" s="111">
        <v>0</v>
      </c>
      <c r="BL10" s="111">
        <v>0</v>
      </c>
      <c r="BM10" s="111">
        <v>0</v>
      </c>
      <c r="BN10" s="111">
        <v>0</v>
      </c>
      <c r="BO10" s="111">
        <v>26</v>
      </c>
      <c r="BP10" s="111">
        <v>0</v>
      </c>
      <c r="BQ10" s="111">
        <v>1</v>
      </c>
      <c r="BR10" s="111">
        <v>0</v>
      </c>
      <c r="BS10" s="111">
        <v>0</v>
      </c>
      <c r="BT10" s="111">
        <v>0</v>
      </c>
      <c r="BU10" s="111">
        <v>2</v>
      </c>
      <c r="BV10" s="111">
        <v>2</v>
      </c>
      <c r="BW10" s="111">
        <v>0</v>
      </c>
      <c r="BX10" s="111"/>
      <c r="BY10" s="97">
        <v>261</v>
      </c>
      <c r="BZ10" s="97">
        <v>220</v>
      </c>
      <c r="CA10" s="97">
        <v>85</v>
      </c>
      <c r="CB10" s="97">
        <v>41</v>
      </c>
    </row>
    <row r="11" spans="1:80" x14ac:dyDescent="0.2">
      <c r="A11" t="s">
        <v>650</v>
      </c>
      <c r="B11" s="112">
        <v>45</v>
      </c>
      <c r="C11" s="111">
        <v>4</v>
      </c>
      <c r="D11" s="111">
        <v>0</v>
      </c>
      <c r="E11" s="111">
        <v>2</v>
      </c>
      <c r="F11" s="111">
        <v>9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3">
        <v>11</v>
      </c>
      <c r="O11" s="111">
        <v>1</v>
      </c>
      <c r="P11" s="111">
        <v>43</v>
      </c>
      <c r="Q11" s="111">
        <v>11</v>
      </c>
      <c r="R11" s="111">
        <v>0</v>
      </c>
      <c r="S11" s="111">
        <v>0</v>
      </c>
      <c r="T11" s="111">
        <v>0</v>
      </c>
      <c r="U11" s="111">
        <v>5</v>
      </c>
      <c r="V11" s="111">
        <v>0</v>
      </c>
      <c r="W11" s="111">
        <v>0</v>
      </c>
      <c r="X11" s="111">
        <v>0</v>
      </c>
      <c r="Y11" s="111">
        <v>47</v>
      </c>
      <c r="Z11" s="111">
        <v>0</v>
      </c>
      <c r="AA11" s="111">
        <v>0</v>
      </c>
      <c r="AB11" s="111">
        <v>3</v>
      </c>
      <c r="AC11" s="111">
        <v>0</v>
      </c>
      <c r="AD11" s="111">
        <v>0</v>
      </c>
      <c r="AE11" s="111">
        <v>0</v>
      </c>
      <c r="AF11" s="111">
        <v>0</v>
      </c>
      <c r="AG11" s="113">
        <v>3</v>
      </c>
      <c r="AH11" s="111">
        <v>0</v>
      </c>
      <c r="AI11" s="111">
        <v>5</v>
      </c>
      <c r="AJ11" s="111">
        <v>0</v>
      </c>
      <c r="AK11" s="111">
        <v>0</v>
      </c>
      <c r="AL11" s="111">
        <v>0</v>
      </c>
      <c r="AM11" s="111">
        <v>1</v>
      </c>
      <c r="AN11" s="111">
        <v>0</v>
      </c>
      <c r="AO11" s="111">
        <v>4</v>
      </c>
      <c r="AP11" s="113">
        <v>5</v>
      </c>
      <c r="AQ11" s="111">
        <v>5</v>
      </c>
      <c r="AR11" s="111">
        <v>0</v>
      </c>
      <c r="AS11" s="113">
        <v>5</v>
      </c>
      <c r="AT11" s="111">
        <v>0</v>
      </c>
      <c r="AU11" s="111">
        <v>0</v>
      </c>
      <c r="AV11" s="111">
        <v>0</v>
      </c>
      <c r="AW11" s="111">
        <v>3</v>
      </c>
      <c r="AX11" s="111">
        <v>0</v>
      </c>
      <c r="AY11" s="111">
        <v>0</v>
      </c>
      <c r="AZ11" s="111">
        <v>1</v>
      </c>
      <c r="BA11" s="111">
        <v>0</v>
      </c>
      <c r="BB11" s="111">
        <v>0</v>
      </c>
      <c r="BC11" s="111">
        <v>0</v>
      </c>
      <c r="BD11" s="111">
        <v>18</v>
      </c>
      <c r="BE11" s="111">
        <v>3</v>
      </c>
      <c r="BF11" s="111">
        <v>0</v>
      </c>
      <c r="BG11" s="111">
        <v>0</v>
      </c>
      <c r="BH11" s="111">
        <v>0</v>
      </c>
      <c r="BI11" s="111">
        <v>0</v>
      </c>
      <c r="BJ11" s="111">
        <v>0</v>
      </c>
      <c r="BK11" s="111">
        <v>0</v>
      </c>
      <c r="BL11" s="111">
        <v>0</v>
      </c>
      <c r="BM11" s="111">
        <v>0</v>
      </c>
      <c r="BN11" s="111">
        <v>0</v>
      </c>
      <c r="BO11" s="111">
        <v>50</v>
      </c>
      <c r="BP11" s="111">
        <v>0</v>
      </c>
      <c r="BQ11" s="111">
        <v>0</v>
      </c>
      <c r="BR11" s="111">
        <v>0</v>
      </c>
      <c r="BS11" s="111">
        <v>0</v>
      </c>
      <c r="BT11" s="111">
        <v>0</v>
      </c>
      <c r="BU11" s="111">
        <v>1</v>
      </c>
      <c r="BV11" s="111">
        <v>0</v>
      </c>
      <c r="BW11" s="111">
        <v>0</v>
      </c>
      <c r="BX11" s="111">
        <v>1</v>
      </c>
      <c r="BY11" s="97">
        <v>217</v>
      </c>
      <c r="BZ11" s="97">
        <v>140</v>
      </c>
      <c r="CA11" s="97">
        <v>29</v>
      </c>
      <c r="CB11" s="97">
        <v>73</v>
      </c>
    </row>
    <row r="12" spans="1:80" x14ac:dyDescent="0.2">
      <c r="A12" t="s">
        <v>651</v>
      </c>
      <c r="B12" s="112">
        <v>50</v>
      </c>
      <c r="C12" s="111">
        <v>4</v>
      </c>
      <c r="D12" s="111">
        <v>0</v>
      </c>
      <c r="E12" s="111">
        <v>3</v>
      </c>
      <c r="F12" s="111">
        <v>6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3">
        <v>9</v>
      </c>
      <c r="O12" s="111">
        <v>0</v>
      </c>
      <c r="P12" s="111">
        <v>42</v>
      </c>
      <c r="Q12" s="111">
        <v>7</v>
      </c>
      <c r="R12" s="111">
        <v>0</v>
      </c>
      <c r="S12" s="111">
        <v>0</v>
      </c>
      <c r="T12" s="111">
        <v>0</v>
      </c>
      <c r="U12" s="111">
        <v>0</v>
      </c>
      <c r="V12" s="111">
        <v>0</v>
      </c>
      <c r="W12" s="111">
        <v>0</v>
      </c>
      <c r="X12" s="111">
        <v>0</v>
      </c>
      <c r="Y12" s="111">
        <v>23</v>
      </c>
      <c r="Z12" s="111">
        <v>0</v>
      </c>
      <c r="AA12" s="111">
        <v>0</v>
      </c>
      <c r="AB12" s="111">
        <v>3</v>
      </c>
      <c r="AC12" s="111">
        <v>0</v>
      </c>
      <c r="AD12" s="111">
        <v>0</v>
      </c>
      <c r="AE12" s="111">
        <v>0</v>
      </c>
      <c r="AF12" s="111">
        <v>0</v>
      </c>
      <c r="AG12" s="113">
        <v>3</v>
      </c>
      <c r="AH12" s="111">
        <v>0</v>
      </c>
      <c r="AI12" s="111">
        <v>4</v>
      </c>
      <c r="AJ12" s="111">
        <v>0</v>
      </c>
      <c r="AK12" s="111">
        <v>2</v>
      </c>
      <c r="AL12" s="111">
        <v>0</v>
      </c>
      <c r="AM12" s="111">
        <v>0</v>
      </c>
      <c r="AN12" s="111">
        <v>0</v>
      </c>
      <c r="AO12" s="111">
        <v>0</v>
      </c>
      <c r="AP12" s="113">
        <v>2</v>
      </c>
      <c r="AQ12" s="111">
        <v>10</v>
      </c>
      <c r="AR12" s="111">
        <v>0</v>
      </c>
      <c r="AS12" s="113">
        <v>10</v>
      </c>
      <c r="AT12" s="111">
        <v>0</v>
      </c>
      <c r="AU12" s="111">
        <v>0</v>
      </c>
      <c r="AV12" s="111">
        <v>0</v>
      </c>
      <c r="AW12" s="111"/>
      <c r="AX12" s="111">
        <v>0</v>
      </c>
      <c r="AY12" s="111">
        <v>0</v>
      </c>
      <c r="AZ12" s="111">
        <v>0</v>
      </c>
      <c r="BA12" s="111">
        <v>0</v>
      </c>
      <c r="BB12" s="111">
        <v>0</v>
      </c>
      <c r="BC12" s="111">
        <v>0</v>
      </c>
      <c r="BD12" s="111">
        <v>28</v>
      </c>
      <c r="BE12" s="111">
        <v>0</v>
      </c>
      <c r="BF12" s="111">
        <v>0</v>
      </c>
      <c r="BG12" s="111">
        <v>0</v>
      </c>
      <c r="BH12" s="111">
        <v>0</v>
      </c>
      <c r="BI12" s="111">
        <v>0</v>
      </c>
      <c r="BJ12" s="111">
        <v>0</v>
      </c>
      <c r="BK12" s="111">
        <v>0</v>
      </c>
      <c r="BL12" s="111">
        <v>0</v>
      </c>
      <c r="BM12" s="111">
        <v>0</v>
      </c>
      <c r="BN12" s="111">
        <v>0</v>
      </c>
      <c r="BO12" s="111">
        <v>25</v>
      </c>
      <c r="BP12" s="111">
        <v>0</v>
      </c>
      <c r="BQ12" s="111">
        <v>0</v>
      </c>
      <c r="BR12" s="111">
        <v>0</v>
      </c>
      <c r="BS12" s="111">
        <v>0</v>
      </c>
      <c r="BT12" s="111">
        <v>0</v>
      </c>
      <c r="BU12" s="111">
        <v>0</v>
      </c>
      <c r="BV12" s="111">
        <v>0</v>
      </c>
      <c r="BW12" s="111">
        <v>1</v>
      </c>
      <c r="BX12" s="111"/>
      <c r="BY12" s="97">
        <v>158</v>
      </c>
      <c r="BZ12" s="97">
        <v>104</v>
      </c>
      <c r="CA12" s="97">
        <v>30</v>
      </c>
      <c r="CB12" s="97">
        <v>53</v>
      </c>
    </row>
    <row r="13" spans="1:80" x14ac:dyDescent="0.2">
      <c r="A13" t="s">
        <v>652</v>
      </c>
      <c r="B13" s="112">
        <v>55</v>
      </c>
      <c r="C13" s="111">
        <v>5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3">
        <v>0</v>
      </c>
      <c r="O13" s="111">
        <v>0</v>
      </c>
      <c r="P13" s="111">
        <v>30</v>
      </c>
      <c r="Q13" s="111">
        <v>0</v>
      </c>
      <c r="R13" s="111">
        <v>0</v>
      </c>
      <c r="S13" s="111">
        <v>0</v>
      </c>
      <c r="T13" s="111">
        <v>0</v>
      </c>
      <c r="U13" s="111">
        <v>24</v>
      </c>
      <c r="V13" s="111">
        <v>0</v>
      </c>
      <c r="W13" s="111">
        <v>0</v>
      </c>
      <c r="X13" s="111">
        <v>0</v>
      </c>
      <c r="Y13" s="111">
        <v>9</v>
      </c>
      <c r="Z13" s="111">
        <v>0</v>
      </c>
      <c r="AA13" s="111">
        <v>0</v>
      </c>
      <c r="AB13" s="111">
        <v>0</v>
      </c>
      <c r="AC13" s="111">
        <v>0</v>
      </c>
      <c r="AD13" s="111">
        <v>0</v>
      </c>
      <c r="AE13" s="111">
        <v>0</v>
      </c>
      <c r="AF13" s="111">
        <v>0</v>
      </c>
      <c r="AG13" s="113">
        <v>0</v>
      </c>
      <c r="AH13" s="111">
        <v>0</v>
      </c>
      <c r="AI13" s="111">
        <v>2</v>
      </c>
      <c r="AJ13" s="111">
        <v>0</v>
      </c>
      <c r="AK13" s="111">
        <v>0</v>
      </c>
      <c r="AL13" s="111">
        <v>0</v>
      </c>
      <c r="AM13" s="111">
        <v>0</v>
      </c>
      <c r="AN13" s="111">
        <v>0</v>
      </c>
      <c r="AO13" s="111">
        <v>0</v>
      </c>
      <c r="AP13" s="113">
        <v>0</v>
      </c>
      <c r="AQ13" s="111">
        <v>1</v>
      </c>
      <c r="AR13" s="111">
        <v>0</v>
      </c>
      <c r="AS13" s="113">
        <v>1</v>
      </c>
      <c r="AT13" s="111">
        <v>0</v>
      </c>
      <c r="AU13" s="111">
        <v>0</v>
      </c>
      <c r="AV13" s="111">
        <v>0</v>
      </c>
      <c r="AW13" s="111"/>
      <c r="AX13" s="111">
        <v>0</v>
      </c>
      <c r="AY13" s="111">
        <v>0</v>
      </c>
      <c r="AZ13" s="111">
        <v>1</v>
      </c>
      <c r="BA13" s="111">
        <v>0</v>
      </c>
      <c r="BB13" s="111">
        <v>0</v>
      </c>
      <c r="BC13" s="111">
        <v>0</v>
      </c>
      <c r="BD13" s="111">
        <v>10</v>
      </c>
      <c r="BE13" s="111">
        <v>0</v>
      </c>
      <c r="BF13" s="111">
        <v>0</v>
      </c>
      <c r="BG13" s="111">
        <v>0</v>
      </c>
      <c r="BH13" s="111">
        <v>0</v>
      </c>
      <c r="BI13" s="111">
        <v>0</v>
      </c>
      <c r="BJ13" s="111">
        <v>0</v>
      </c>
      <c r="BK13" s="111">
        <v>0</v>
      </c>
      <c r="BL13" s="111">
        <v>0</v>
      </c>
      <c r="BM13" s="111">
        <v>0</v>
      </c>
      <c r="BN13" s="111">
        <v>0</v>
      </c>
      <c r="BO13" s="111">
        <v>118</v>
      </c>
      <c r="BP13" s="111">
        <v>0</v>
      </c>
      <c r="BQ13" s="111">
        <v>0</v>
      </c>
      <c r="BR13" s="111">
        <v>0</v>
      </c>
      <c r="BS13" s="111">
        <v>0</v>
      </c>
      <c r="BT13" s="111">
        <v>0</v>
      </c>
      <c r="BU13" s="111">
        <v>0</v>
      </c>
      <c r="BV13" s="111">
        <v>1</v>
      </c>
      <c r="BW13" s="111">
        <v>0</v>
      </c>
      <c r="BX13" s="111">
        <v>7</v>
      </c>
      <c r="BY13" s="97">
        <v>208</v>
      </c>
      <c r="BZ13" s="97">
        <v>71</v>
      </c>
      <c r="CA13" s="97">
        <v>8</v>
      </c>
      <c r="CB13" s="97">
        <v>130</v>
      </c>
    </row>
    <row r="14" spans="1:80" x14ac:dyDescent="0.2">
      <c r="A14" t="s">
        <v>653</v>
      </c>
      <c r="B14" s="112">
        <v>60</v>
      </c>
      <c r="C14" s="111">
        <v>9</v>
      </c>
      <c r="D14" s="111">
        <v>0</v>
      </c>
      <c r="E14" s="111">
        <v>0</v>
      </c>
      <c r="F14" s="111">
        <v>8</v>
      </c>
      <c r="G14" s="111">
        <v>0</v>
      </c>
      <c r="H14" s="111">
        <v>0</v>
      </c>
      <c r="I14" s="111">
        <v>0</v>
      </c>
      <c r="J14" s="111">
        <v>0</v>
      </c>
      <c r="K14" s="111">
        <v>1</v>
      </c>
      <c r="L14" s="111">
        <v>0</v>
      </c>
      <c r="M14" s="111">
        <v>0</v>
      </c>
      <c r="N14" s="113">
        <v>9</v>
      </c>
      <c r="O14" s="111">
        <v>1</v>
      </c>
      <c r="P14" s="111">
        <v>44</v>
      </c>
      <c r="Q14" s="111">
        <v>2</v>
      </c>
      <c r="R14" s="111">
        <v>0</v>
      </c>
      <c r="S14" s="111">
        <v>0</v>
      </c>
      <c r="T14" s="111">
        <v>0</v>
      </c>
      <c r="U14" s="111">
        <v>2</v>
      </c>
      <c r="V14" s="111">
        <v>2</v>
      </c>
      <c r="W14" s="111">
        <v>0</v>
      </c>
      <c r="X14" s="111">
        <v>0</v>
      </c>
      <c r="Y14" s="111">
        <v>46</v>
      </c>
      <c r="Z14" s="111">
        <v>2</v>
      </c>
      <c r="AA14" s="111">
        <v>0</v>
      </c>
      <c r="AB14" s="111">
        <v>2</v>
      </c>
      <c r="AC14" s="111">
        <v>0</v>
      </c>
      <c r="AD14" s="111">
        <v>0</v>
      </c>
      <c r="AE14" s="111">
        <v>0</v>
      </c>
      <c r="AF14" s="111">
        <v>0</v>
      </c>
      <c r="AG14" s="113">
        <v>2</v>
      </c>
      <c r="AH14" s="111">
        <v>0</v>
      </c>
      <c r="AI14" s="111">
        <v>10</v>
      </c>
      <c r="AJ14" s="111">
        <v>0</v>
      </c>
      <c r="AK14" s="111">
        <v>0</v>
      </c>
      <c r="AL14" s="111">
        <v>0</v>
      </c>
      <c r="AM14" s="111">
        <v>1</v>
      </c>
      <c r="AN14" s="111">
        <v>2</v>
      </c>
      <c r="AO14" s="111">
        <v>10</v>
      </c>
      <c r="AP14" s="113">
        <v>13</v>
      </c>
      <c r="AQ14" s="111">
        <v>8</v>
      </c>
      <c r="AR14" s="111">
        <v>0</v>
      </c>
      <c r="AS14" s="113">
        <v>8</v>
      </c>
      <c r="AT14" s="111">
        <v>0</v>
      </c>
      <c r="AU14" s="111">
        <v>0</v>
      </c>
      <c r="AV14" s="111">
        <v>4</v>
      </c>
      <c r="AW14" s="111">
        <v>3</v>
      </c>
      <c r="AX14" s="111">
        <v>0</v>
      </c>
      <c r="AY14" s="111">
        <v>0</v>
      </c>
      <c r="AZ14" s="111">
        <v>0</v>
      </c>
      <c r="BA14" s="111">
        <v>0</v>
      </c>
      <c r="BB14" s="111">
        <v>0</v>
      </c>
      <c r="BC14" s="111">
        <v>0</v>
      </c>
      <c r="BD14" s="111">
        <v>9</v>
      </c>
      <c r="BE14" s="111">
        <v>1</v>
      </c>
      <c r="BF14" s="111">
        <v>0</v>
      </c>
      <c r="BG14" s="111">
        <v>0</v>
      </c>
      <c r="BH14" s="111">
        <v>0</v>
      </c>
      <c r="BI14" s="111">
        <v>0</v>
      </c>
      <c r="BJ14" s="111">
        <v>0</v>
      </c>
      <c r="BK14" s="111">
        <v>0</v>
      </c>
      <c r="BL14" s="111">
        <v>0</v>
      </c>
      <c r="BM14" s="111">
        <v>0</v>
      </c>
      <c r="BN14" s="111">
        <v>0</v>
      </c>
      <c r="BO14" s="111">
        <v>40</v>
      </c>
      <c r="BP14" s="111">
        <v>0</v>
      </c>
      <c r="BQ14" s="111">
        <v>0</v>
      </c>
      <c r="BR14" s="111">
        <v>0</v>
      </c>
      <c r="BS14" s="111">
        <v>0</v>
      </c>
      <c r="BT14" s="111">
        <v>1</v>
      </c>
      <c r="BU14" s="111">
        <v>0</v>
      </c>
      <c r="BV14" s="111">
        <v>13</v>
      </c>
      <c r="BW14" s="111">
        <v>39</v>
      </c>
      <c r="BX14" s="111">
        <v>1</v>
      </c>
      <c r="BY14" s="97">
        <v>261</v>
      </c>
      <c r="BZ14" s="97">
        <v>150</v>
      </c>
      <c r="CA14" s="97">
        <v>39</v>
      </c>
      <c r="CB14" s="97">
        <v>64</v>
      </c>
    </row>
    <row r="15" spans="1:80" x14ac:dyDescent="0.2">
      <c r="A15" t="s">
        <v>654</v>
      </c>
      <c r="B15" s="112">
        <v>65</v>
      </c>
      <c r="C15" s="111">
        <v>8</v>
      </c>
      <c r="D15" s="111">
        <v>0</v>
      </c>
      <c r="E15" s="111">
        <v>0</v>
      </c>
      <c r="F15" s="111">
        <v>3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3">
        <v>3</v>
      </c>
      <c r="O15" s="111">
        <v>0</v>
      </c>
      <c r="P15" s="111">
        <v>24</v>
      </c>
      <c r="Q15" s="111">
        <v>7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15</v>
      </c>
      <c r="Z15" s="111">
        <v>0</v>
      </c>
      <c r="AA15" s="111">
        <v>0</v>
      </c>
      <c r="AB15" s="111">
        <v>3</v>
      </c>
      <c r="AC15" s="111">
        <v>0</v>
      </c>
      <c r="AD15" s="111">
        <v>0</v>
      </c>
      <c r="AE15" s="111">
        <v>0</v>
      </c>
      <c r="AF15" s="111">
        <v>0</v>
      </c>
      <c r="AG15" s="113">
        <v>3</v>
      </c>
      <c r="AH15" s="111">
        <v>0</v>
      </c>
      <c r="AI15" s="111">
        <v>0</v>
      </c>
      <c r="AJ15" s="111">
        <v>0</v>
      </c>
      <c r="AK15" s="111">
        <v>2</v>
      </c>
      <c r="AL15" s="111">
        <v>0</v>
      </c>
      <c r="AM15" s="111">
        <v>0</v>
      </c>
      <c r="AN15" s="111">
        <v>0</v>
      </c>
      <c r="AO15" s="111">
        <v>1</v>
      </c>
      <c r="AP15" s="113">
        <v>3</v>
      </c>
      <c r="AQ15" s="111">
        <v>8</v>
      </c>
      <c r="AR15" s="111">
        <v>0</v>
      </c>
      <c r="AS15" s="113">
        <v>8</v>
      </c>
      <c r="AT15" s="111">
        <v>0</v>
      </c>
      <c r="AU15" s="111">
        <v>0</v>
      </c>
      <c r="AV15" s="111">
        <v>0</v>
      </c>
      <c r="AW15" s="111"/>
      <c r="AX15" s="111">
        <v>0</v>
      </c>
      <c r="AY15" s="111">
        <v>0</v>
      </c>
      <c r="AZ15" s="111">
        <v>0</v>
      </c>
      <c r="BA15" s="111">
        <v>0</v>
      </c>
      <c r="BB15" s="111">
        <v>0</v>
      </c>
      <c r="BC15" s="111">
        <v>0</v>
      </c>
      <c r="BD15" s="111">
        <v>8</v>
      </c>
      <c r="BE15" s="111">
        <v>1</v>
      </c>
      <c r="BF15" s="111">
        <v>0</v>
      </c>
      <c r="BG15" s="111">
        <v>0</v>
      </c>
      <c r="BH15" s="111">
        <v>0</v>
      </c>
      <c r="BI15" s="111">
        <v>0</v>
      </c>
      <c r="BJ15" s="111">
        <v>1</v>
      </c>
      <c r="BK15" s="111">
        <v>0</v>
      </c>
      <c r="BL15" s="111">
        <v>0</v>
      </c>
      <c r="BM15" s="111">
        <v>0</v>
      </c>
      <c r="BN15" s="111">
        <v>0</v>
      </c>
      <c r="BO15" s="111">
        <v>8</v>
      </c>
      <c r="BP15" s="111">
        <v>0</v>
      </c>
      <c r="BQ15" s="111">
        <v>0</v>
      </c>
      <c r="BR15" s="111">
        <v>0</v>
      </c>
      <c r="BS15" s="111">
        <v>0</v>
      </c>
      <c r="BT15" s="111">
        <v>0</v>
      </c>
      <c r="BU15" s="111">
        <v>0</v>
      </c>
      <c r="BV15" s="111">
        <v>2</v>
      </c>
      <c r="BW15" s="111">
        <v>0</v>
      </c>
      <c r="BX15" s="111"/>
      <c r="BY15" s="97">
        <v>91</v>
      </c>
      <c r="BZ15" s="97">
        <v>71</v>
      </c>
      <c r="CA15" s="97">
        <v>22</v>
      </c>
      <c r="CB15" s="97">
        <v>20</v>
      </c>
    </row>
    <row r="16" spans="1:80" x14ac:dyDescent="0.2">
      <c r="A16" t="s">
        <v>655</v>
      </c>
      <c r="B16" s="112">
        <v>70</v>
      </c>
      <c r="C16" s="111">
        <v>9</v>
      </c>
      <c r="D16" s="111">
        <v>0</v>
      </c>
      <c r="E16" s="111">
        <v>0</v>
      </c>
      <c r="F16" s="111">
        <v>2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3">
        <v>2</v>
      </c>
      <c r="O16" s="111">
        <v>0</v>
      </c>
      <c r="P16" s="111">
        <v>9</v>
      </c>
      <c r="Q16" s="111">
        <v>6</v>
      </c>
      <c r="R16" s="111">
        <v>0</v>
      </c>
      <c r="S16" s="111">
        <v>0</v>
      </c>
      <c r="T16" s="111">
        <v>0</v>
      </c>
      <c r="U16" s="111">
        <v>3</v>
      </c>
      <c r="V16" s="111">
        <v>0</v>
      </c>
      <c r="W16" s="111">
        <v>0</v>
      </c>
      <c r="X16" s="111">
        <v>0</v>
      </c>
      <c r="Y16" s="111">
        <v>13</v>
      </c>
      <c r="Z16" s="111">
        <v>0</v>
      </c>
      <c r="AA16" s="111">
        <v>0</v>
      </c>
      <c r="AB16" s="111">
        <v>1</v>
      </c>
      <c r="AC16" s="111">
        <v>0</v>
      </c>
      <c r="AD16" s="111">
        <v>0</v>
      </c>
      <c r="AE16" s="111">
        <v>0</v>
      </c>
      <c r="AF16" s="111">
        <v>0</v>
      </c>
      <c r="AG16" s="113">
        <v>1</v>
      </c>
      <c r="AH16" s="111">
        <v>0</v>
      </c>
      <c r="AI16" s="111">
        <v>0</v>
      </c>
      <c r="AJ16" s="111">
        <v>0</v>
      </c>
      <c r="AK16" s="111">
        <v>0</v>
      </c>
      <c r="AL16" s="111">
        <v>0</v>
      </c>
      <c r="AM16" s="111">
        <v>0</v>
      </c>
      <c r="AN16" s="111">
        <v>0</v>
      </c>
      <c r="AO16" s="111">
        <v>3</v>
      </c>
      <c r="AP16" s="113">
        <v>3</v>
      </c>
      <c r="AQ16" s="111">
        <v>2</v>
      </c>
      <c r="AR16" s="111">
        <v>2</v>
      </c>
      <c r="AS16" s="113">
        <v>4</v>
      </c>
      <c r="AT16" s="111">
        <v>0</v>
      </c>
      <c r="AU16" s="111">
        <v>2</v>
      </c>
      <c r="AV16" s="111">
        <v>0</v>
      </c>
      <c r="AW16" s="111"/>
      <c r="AX16" s="111">
        <v>0</v>
      </c>
      <c r="AY16" s="111">
        <v>0</v>
      </c>
      <c r="AZ16" s="111">
        <v>0</v>
      </c>
      <c r="BA16" s="111">
        <v>0</v>
      </c>
      <c r="BB16" s="111">
        <v>0</v>
      </c>
      <c r="BC16" s="111">
        <v>0</v>
      </c>
      <c r="BD16" s="111">
        <v>24</v>
      </c>
      <c r="BE16" s="111">
        <v>2</v>
      </c>
      <c r="BF16" s="111">
        <v>0</v>
      </c>
      <c r="BG16" s="111">
        <v>0</v>
      </c>
      <c r="BH16" s="111">
        <v>0</v>
      </c>
      <c r="BI16" s="111">
        <v>0</v>
      </c>
      <c r="BJ16" s="111">
        <v>0</v>
      </c>
      <c r="BK16" s="111">
        <v>0</v>
      </c>
      <c r="BL16" s="111">
        <v>0</v>
      </c>
      <c r="BM16" s="111">
        <v>0</v>
      </c>
      <c r="BN16" s="111">
        <v>0</v>
      </c>
      <c r="BO16" s="111">
        <v>24</v>
      </c>
      <c r="BP16" s="111">
        <v>0</v>
      </c>
      <c r="BQ16" s="111">
        <v>0</v>
      </c>
      <c r="BR16" s="111">
        <v>0</v>
      </c>
      <c r="BS16" s="111">
        <v>0</v>
      </c>
      <c r="BT16" s="111">
        <v>0</v>
      </c>
      <c r="BU16" s="111">
        <v>1</v>
      </c>
      <c r="BV16" s="111">
        <v>0</v>
      </c>
      <c r="BW16" s="111">
        <v>5</v>
      </c>
      <c r="BX16" s="111"/>
      <c r="BY16" s="97">
        <v>108</v>
      </c>
      <c r="BZ16" s="97">
        <v>52</v>
      </c>
      <c r="CA16" s="97">
        <v>16</v>
      </c>
      <c r="CB16" s="97">
        <v>51</v>
      </c>
    </row>
    <row r="17" spans="1:80" x14ac:dyDescent="0.2">
      <c r="A17" t="s">
        <v>656</v>
      </c>
      <c r="B17" s="112">
        <v>75</v>
      </c>
      <c r="C17" s="111">
        <v>6</v>
      </c>
      <c r="D17" s="111">
        <v>0</v>
      </c>
      <c r="E17" s="111">
        <v>0</v>
      </c>
      <c r="F17" s="111">
        <v>4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3">
        <v>4</v>
      </c>
      <c r="O17" s="111">
        <v>1</v>
      </c>
      <c r="P17" s="111">
        <v>20</v>
      </c>
      <c r="Q17" s="111">
        <v>3</v>
      </c>
      <c r="R17" s="111">
        <v>0</v>
      </c>
      <c r="S17" s="111">
        <v>0</v>
      </c>
      <c r="T17" s="111">
        <v>0</v>
      </c>
      <c r="U17" s="111">
        <v>3</v>
      </c>
      <c r="V17" s="111">
        <v>0</v>
      </c>
      <c r="W17" s="111">
        <v>0</v>
      </c>
      <c r="X17" s="111">
        <v>0</v>
      </c>
      <c r="Y17" s="111">
        <v>18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0</v>
      </c>
      <c r="AF17" s="111">
        <v>0</v>
      </c>
      <c r="AG17" s="113">
        <v>0</v>
      </c>
      <c r="AH17" s="111">
        <v>0</v>
      </c>
      <c r="AI17" s="111">
        <v>1</v>
      </c>
      <c r="AJ17" s="111">
        <v>0</v>
      </c>
      <c r="AK17" s="111">
        <v>0</v>
      </c>
      <c r="AL17" s="111">
        <v>0</v>
      </c>
      <c r="AM17" s="111">
        <v>3</v>
      </c>
      <c r="AN17" s="111">
        <v>0</v>
      </c>
      <c r="AO17" s="111">
        <v>3</v>
      </c>
      <c r="AP17" s="113">
        <v>6</v>
      </c>
      <c r="AQ17" s="111">
        <v>2</v>
      </c>
      <c r="AR17" s="111">
        <v>0</v>
      </c>
      <c r="AS17" s="113">
        <v>2</v>
      </c>
      <c r="AT17" s="111">
        <v>0</v>
      </c>
      <c r="AU17" s="111">
        <v>2</v>
      </c>
      <c r="AV17" s="111">
        <v>0</v>
      </c>
      <c r="AW17" s="111"/>
      <c r="AX17" s="111">
        <v>0</v>
      </c>
      <c r="AY17" s="111">
        <v>0</v>
      </c>
      <c r="AZ17" s="111">
        <v>0</v>
      </c>
      <c r="BA17" s="111">
        <v>0</v>
      </c>
      <c r="BB17" s="111">
        <v>0</v>
      </c>
      <c r="BC17" s="111">
        <v>0</v>
      </c>
      <c r="BD17" s="111">
        <v>23</v>
      </c>
      <c r="BE17" s="111">
        <v>2</v>
      </c>
      <c r="BF17" s="111">
        <v>0</v>
      </c>
      <c r="BG17" s="111">
        <v>0</v>
      </c>
      <c r="BH17" s="111">
        <v>0</v>
      </c>
      <c r="BI17" s="111">
        <v>0</v>
      </c>
      <c r="BJ17" s="111">
        <v>0</v>
      </c>
      <c r="BK17" s="111">
        <v>0</v>
      </c>
      <c r="BL17" s="111">
        <v>0</v>
      </c>
      <c r="BM17" s="111">
        <v>0</v>
      </c>
      <c r="BN17" s="111">
        <v>0</v>
      </c>
      <c r="BO17" s="111">
        <v>9</v>
      </c>
      <c r="BP17" s="111">
        <v>0</v>
      </c>
      <c r="BQ17" s="111">
        <v>0</v>
      </c>
      <c r="BR17" s="111">
        <v>0</v>
      </c>
      <c r="BS17" s="111">
        <v>0</v>
      </c>
      <c r="BT17" s="111">
        <v>0</v>
      </c>
      <c r="BU17" s="111">
        <v>0</v>
      </c>
      <c r="BV17" s="111">
        <v>4</v>
      </c>
      <c r="BW17" s="111">
        <v>8</v>
      </c>
      <c r="BX17" s="111"/>
      <c r="BY17" s="97">
        <v>112</v>
      </c>
      <c r="BZ17" s="97">
        <v>66</v>
      </c>
      <c r="CA17" s="97">
        <v>14</v>
      </c>
      <c r="CB17" s="97">
        <v>38</v>
      </c>
    </row>
    <row r="18" spans="1:80" x14ac:dyDescent="0.2">
      <c r="A18" t="s">
        <v>657</v>
      </c>
      <c r="B18" s="112">
        <v>80</v>
      </c>
      <c r="C18" s="111">
        <v>14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3">
        <v>0</v>
      </c>
      <c r="O18" s="111">
        <v>5</v>
      </c>
      <c r="P18" s="111">
        <v>25</v>
      </c>
      <c r="Q18" s="111">
        <v>17</v>
      </c>
      <c r="R18" s="111">
        <v>0</v>
      </c>
      <c r="S18" s="111">
        <v>0</v>
      </c>
      <c r="T18" s="111">
        <v>0</v>
      </c>
      <c r="U18" s="111">
        <v>1</v>
      </c>
      <c r="V18" s="111">
        <v>0</v>
      </c>
      <c r="W18" s="111">
        <v>0</v>
      </c>
      <c r="X18" s="111">
        <v>0</v>
      </c>
      <c r="Y18" s="111">
        <v>61</v>
      </c>
      <c r="Z18" s="111">
        <v>0</v>
      </c>
      <c r="AA18" s="111">
        <v>0</v>
      </c>
      <c r="AB18" s="111">
        <v>0</v>
      </c>
      <c r="AC18" s="111">
        <v>0</v>
      </c>
      <c r="AD18" s="111">
        <v>0</v>
      </c>
      <c r="AE18" s="111">
        <v>0</v>
      </c>
      <c r="AF18" s="111">
        <v>0</v>
      </c>
      <c r="AG18" s="113">
        <v>0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3">
        <v>0</v>
      </c>
      <c r="AQ18" s="111">
        <v>1</v>
      </c>
      <c r="AR18" s="111">
        <v>0</v>
      </c>
      <c r="AS18" s="113">
        <v>1</v>
      </c>
      <c r="AT18" s="111">
        <v>0</v>
      </c>
      <c r="AU18" s="111">
        <v>10</v>
      </c>
      <c r="AV18" s="111">
        <v>0</v>
      </c>
      <c r="AW18" s="111"/>
      <c r="AX18" s="111">
        <v>0</v>
      </c>
      <c r="AY18" s="111">
        <v>3</v>
      </c>
      <c r="AZ18" s="111">
        <v>0</v>
      </c>
      <c r="BA18" s="111">
        <v>0</v>
      </c>
      <c r="BB18" s="111">
        <v>0</v>
      </c>
      <c r="BC18" s="111">
        <v>0</v>
      </c>
      <c r="BD18" s="111">
        <v>5</v>
      </c>
      <c r="BE18" s="111">
        <v>0</v>
      </c>
      <c r="BF18" s="111">
        <v>0</v>
      </c>
      <c r="BG18" s="111">
        <v>0</v>
      </c>
      <c r="BH18" s="111">
        <v>0</v>
      </c>
      <c r="BI18" s="111">
        <v>0</v>
      </c>
      <c r="BJ18" s="111">
        <v>0</v>
      </c>
      <c r="BK18" s="111">
        <v>0</v>
      </c>
      <c r="BL18" s="111">
        <v>0</v>
      </c>
      <c r="BM18" s="111">
        <v>0</v>
      </c>
      <c r="BN18" s="111">
        <v>0</v>
      </c>
      <c r="BO18" s="111">
        <v>8</v>
      </c>
      <c r="BP18" s="111">
        <v>0</v>
      </c>
      <c r="BQ18" s="111">
        <v>0</v>
      </c>
      <c r="BR18" s="111">
        <v>0</v>
      </c>
      <c r="BS18" s="111">
        <v>0</v>
      </c>
      <c r="BT18" s="111">
        <v>0</v>
      </c>
      <c r="BU18" s="111">
        <v>0</v>
      </c>
      <c r="BV18" s="111">
        <v>8</v>
      </c>
      <c r="BW18" s="111">
        <v>0</v>
      </c>
      <c r="BX18" s="111"/>
      <c r="BY18" s="97">
        <v>158</v>
      </c>
      <c r="BZ18" s="97">
        <v>134</v>
      </c>
      <c r="CA18" s="97">
        <v>20</v>
      </c>
      <c r="CB18" s="97">
        <v>24</v>
      </c>
    </row>
    <row r="19" spans="1:80" x14ac:dyDescent="0.2">
      <c r="A19" t="s">
        <v>658</v>
      </c>
      <c r="B19" s="112">
        <v>85</v>
      </c>
      <c r="C19" s="111">
        <v>8</v>
      </c>
      <c r="D19" s="111">
        <v>0</v>
      </c>
      <c r="E19" s="111">
        <v>1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3">
        <v>1</v>
      </c>
      <c r="O19" s="111">
        <v>8</v>
      </c>
      <c r="P19" s="111">
        <v>24</v>
      </c>
      <c r="Q19" s="111">
        <v>22</v>
      </c>
      <c r="R19" s="111">
        <v>0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85</v>
      </c>
      <c r="Z19" s="111">
        <v>0</v>
      </c>
      <c r="AA19" s="111">
        <v>0</v>
      </c>
      <c r="AB19" s="111">
        <v>0</v>
      </c>
      <c r="AC19" s="111">
        <v>0</v>
      </c>
      <c r="AD19" s="111">
        <v>0</v>
      </c>
      <c r="AE19" s="111">
        <v>0</v>
      </c>
      <c r="AF19" s="111">
        <v>0</v>
      </c>
      <c r="AG19" s="113">
        <v>0</v>
      </c>
      <c r="AH19" s="111">
        <v>0</v>
      </c>
      <c r="AI19" s="111">
        <v>0</v>
      </c>
      <c r="AJ19" s="111">
        <v>1</v>
      </c>
      <c r="AK19" s="111">
        <v>0</v>
      </c>
      <c r="AL19" s="111">
        <v>0</v>
      </c>
      <c r="AM19" s="111">
        <v>0</v>
      </c>
      <c r="AN19" s="111">
        <v>0</v>
      </c>
      <c r="AO19" s="111">
        <v>0</v>
      </c>
      <c r="AP19" s="113">
        <v>1</v>
      </c>
      <c r="AQ19" s="111">
        <v>0</v>
      </c>
      <c r="AR19" s="111">
        <v>0</v>
      </c>
      <c r="AS19" s="113">
        <v>0</v>
      </c>
      <c r="AT19" s="111">
        <v>0</v>
      </c>
      <c r="AU19" s="111">
        <v>19</v>
      </c>
      <c r="AV19" s="111">
        <v>0</v>
      </c>
      <c r="AW19" s="111"/>
      <c r="AX19" s="111">
        <v>0</v>
      </c>
      <c r="AY19" s="111">
        <v>0</v>
      </c>
      <c r="AZ19" s="111">
        <v>0</v>
      </c>
      <c r="BA19" s="111">
        <v>0</v>
      </c>
      <c r="BB19" s="111">
        <v>0</v>
      </c>
      <c r="BC19" s="111">
        <v>0</v>
      </c>
      <c r="BD19" s="111">
        <v>0</v>
      </c>
      <c r="BE19" s="111">
        <v>0</v>
      </c>
      <c r="BF19" s="111">
        <v>0</v>
      </c>
      <c r="BG19" s="111">
        <v>0</v>
      </c>
      <c r="BH19" s="111">
        <v>0</v>
      </c>
      <c r="BI19" s="111">
        <v>0</v>
      </c>
      <c r="BJ19" s="111">
        <v>0</v>
      </c>
      <c r="BK19" s="111">
        <v>0</v>
      </c>
      <c r="BL19" s="111">
        <v>0</v>
      </c>
      <c r="BM19" s="111">
        <v>0</v>
      </c>
      <c r="BN19" s="111">
        <v>0</v>
      </c>
      <c r="BO19" s="111">
        <v>18</v>
      </c>
      <c r="BP19" s="111">
        <v>0</v>
      </c>
      <c r="BQ19" s="111">
        <v>0</v>
      </c>
      <c r="BR19" s="111">
        <v>0</v>
      </c>
      <c r="BS19" s="111">
        <v>0</v>
      </c>
      <c r="BT19" s="111">
        <v>0</v>
      </c>
      <c r="BU19" s="111">
        <v>0</v>
      </c>
      <c r="BV19" s="111">
        <v>11</v>
      </c>
      <c r="BW19" s="111">
        <v>0</v>
      </c>
      <c r="BX19" s="111"/>
      <c r="BY19" s="97">
        <v>197</v>
      </c>
      <c r="BZ19" s="97">
        <v>168</v>
      </c>
      <c r="CA19" s="97">
        <v>17</v>
      </c>
      <c r="CB19" s="97">
        <v>29</v>
      </c>
    </row>
    <row r="20" spans="1:80" x14ac:dyDescent="0.2"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114">
        <v>0</v>
      </c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114">
        <v>0</v>
      </c>
      <c r="AH20" s="97"/>
      <c r="AI20" s="97"/>
      <c r="AJ20" s="97"/>
      <c r="AK20" s="97"/>
      <c r="AL20" s="97"/>
      <c r="AM20" s="97"/>
      <c r="AN20" s="97"/>
      <c r="AO20" s="97"/>
      <c r="AP20" s="114">
        <v>0</v>
      </c>
      <c r="AQ20" s="97"/>
      <c r="AR20" s="97"/>
      <c r="AS20" s="114">
        <v>0</v>
      </c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>
        <v>0</v>
      </c>
      <c r="BZ20" s="97"/>
      <c r="CA20" s="97"/>
      <c r="CB20" s="97"/>
    </row>
    <row r="21" spans="1:80" x14ac:dyDescent="0.2">
      <c r="B21" s="97"/>
      <c r="C21" s="97">
        <v>124</v>
      </c>
      <c r="D21" s="97">
        <v>0</v>
      </c>
      <c r="E21" s="97">
        <v>16</v>
      </c>
      <c r="F21" s="97">
        <v>120</v>
      </c>
      <c r="G21" s="97">
        <v>0</v>
      </c>
      <c r="H21" s="97">
        <v>0</v>
      </c>
      <c r="I21" s="97">
        <v>0</v>
      </c>
      <c r="J21" s="97">
        <v>0</v>
      </c>
      <c r="K21" s="97">
        <v>6</v>
      </c>
      <c r="L21" s="97">
        <v>0</v>
      </c>
      <c r="M21" s="97">
        <v>0</v>
      </c>
      <c r="N21" s="114">
        <v>142</v>
      </c>
      <c r="O21" s="97">
        <v>27</v>
      </c>
      <c r="P21" s="97">
        <v>803</v>
      </c>
      <c r="Q21" s="97">
        <v>136</v>
      </c>
      <c r="R21" s="97">
        <v>0</v>
      </c>
      <c r="S21" s="97">
        <v>0</v>
      </c>
      <c r="T21" s="97">
        <v>0</v>
      </c>
      <c r="U21" s="97">
        <v>47</v>
      </c>
      <c r="V21" s="97">
        <v>2</v>
      </c>
      <c r="W21" s="97">
        <v>0</v>
      </c>
      <c r="X21" s="97">
        <v>0</v>
      </c>
      <c r="Y21" s="97">
        <v>779</v>
      </c>
      <c r="Z21" s="97">
        <v>2</v>
      </c>
      <c r="AA21" s="97">
        <v>0</v>
      </c>
      <c r="AB21" s="97">
        <v>20</v>
      </c>
      <c r="AC21" s="97">
        <v>0</v>
      </c>
      <c r="AD21" s="97">
        <v>0</v>
      </c>
      <c r="AE21" s="97">
        <v>0</v>
      </c>
      <c r="AF21" s="97">
        <v>3</v>
      </c>
      <c r="AG21" s="114">
        <v>23</v>
      </c>
      <c r="AH21" s="97">
        <v>1</v>
      </c>
      <c r="AI21" s="97">
        <v>62</v>
      </c>
      <c r="AJ21" s="97">
        <v>1</v>
      </c>
      <c r="AK21" s="97">
        <v>13</v>
      </c>
      <c r="AL21" s="97">
        <v>0</v>
      </c>
      <c r="AM21" s="97">
        <v>9</v>
      </c>
      <c r="AN21" s="97">
        <v>2</v>
      </c>
      <c r="AO21" s="97">
        <v>120</v>
      </c>
      <c r="AP21" s="114">
        <v>145</v>
      </c>
      <c r="AQ21" s="97">
        <v>496</v>
      </c>
      <c r="AR21" s="97">
        <v>2</v>
      </c>
      <c r="AS21" s="114">
        <v>498</v>
      </c>
      <c r="AT21" s="97">
        <v>0</v>
      </c>
      <c r="AU21" s="97">
        <v>33</v>
      </c>
      <c r="AV21" s="97">
        <v>15</v>
      </c>
      <c r="AW21" s="97">
        <v>12</v>
      </c>
      <c r="AX21" s="97">
        <v>0</v>
      </c>
      <c r="AY21" s="97">
        <v>3</v>
      </c>
      <c r="AZ21" s="97">
        <v>3</v>
      </c>
      <c r="BA21" s="97">
        <v>0</v>
      </c>
      <c r="BB21" s="97">
        <v>0</v>
      </c>
      <c r="BC21" s="97">
        <v>0</v>
      </c>
      <c r="BD21" s="97">
        <v>243</v>
      </c>
      <c r="BE21" s="97">
        <v>0</v>
      </c>
      <c r="BF21" s="97">
        <v>0</v>
      </c>
      <c r="BG21" s="97">
        <v>0</v>
      </c>
      <c r="BH21" s="97">
        <v>0</v>
      </c>
      <c r="BI21" s="97">
        <v>5</v>
      </c>
      <c r="BJ21" s="97">
        <v>1</v>
      </c>
      <c r="BK21" s="97">
        <v>0</v>
      </c>
      <c r="BL21" s="97">
        <v>0</v>
      </c>
      <c r="BM21" s="97">
        <v>0</v>
      </c>
      <c r="BN21" s="97">
        <v>0</v>
      </c>
      <c r="BO21" s="97">
        <v>534</v>
      </c>
      <c r="BP21" s="97">
        <v>0</v>
      </c>
      <c r="BQ21" s="97">
        <v>1</v>
      </c>
      <c r="BR21" s="97">
        <v>0</v>
      </c>
      <c r="BS21" s="97">
        <v>0</v>
      </c>
      <c r="BT21" s="97">
        <v>1</v>
      </c>
      <c r="BU21" s="97">
        <v>12</v>
      </c>
      <c r="BV21" s="97">
        <v>0</v>
      </c>
      <c r="BW21" s="97">
        <v>75</v>
      </c>
      <c r="BX21" s="97">
        <v>11</v>
      </c>
      <c r="BY21" s="97">
        <v>3853</v>
      </c>
      <c r="BZ21" s="97">
        <v>2824</v>
      </c>
      <c r="CA21" s="97">
        <v>876</v>
      </c>
      <c r="CB21" s="97">
        <v>916</v>
      </c>
    </row>
  </sheetData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6"/>
  <sheetViews>
    <sheetView workbookViewId="0">
      <selection activeCell="B18" sqref="B18"/>
    </sheetView>
  </sheetViews>
  <sheetFormatPr baseColWidth="10" defaultRowHeight="16" x14ac:dyDescent="0.2"/>
  <cols>
    <col min="1" max="1" width="20" bestFit="1" customWidth="1"/>
  </cols>
  <sheetData>
    <row r="1" spans="1:80" ht="17" thickBot="1" x14ac:dyDescent="0.25">
      <c r="A1" t="s">
        <v>484</v>
      </c>
      <c r="B1" s="97" t="s">
        <v>581</v>
      </c>
      <c r="C1" s="115" t="s">
        <v>486</v>
      </c>
      <c r="D1" s="115" t="s">
        <v>487</v>
      </c>
      <c r="E1" s="115" t="s">
        <v>488</v>
      </c>
      <c r="F1" s="115" t="s">
        <v>489</v>
      </c>
      <c r="G1" s="115" t="s">
        <v>490</v>
      </c>
      <c r="H1" s="115" t="s">
        <v>491</v>
      </c>
      <c r="I1" s="115" t="s">
        <v>492</v>
      </c>
      <c r="J1" s="115" t="s">
        <v>493</v>
      </c>
      <c r="K1" s="115" t="s">
        <v>494</v>
      </c>
      <c r="L1" s="115" t="s">
        <v>495</v>
      </c>
      <c r="M1" s="115" t="s">
        <v>496</v>
      </c>
      <c r="N1" s="116" t="s">
        <v>497</v>
      </c>
      <c r="O1" s="115" t="s">
        <v>498</v>
      </c>
      <c r="P1" s="115" t="s">
        <v>499</v>
      </c>
      <c r="Q1" s="115" t="s">
        <v>500</v>
      </c>
      <c r="R1" s="115" t="s">
        <v>501</v>
      </c>
      <c r="S1" s="115" t="s">
        <v>502</v>
      </c>
      <c r="T1" s="115" t="s">
        <v>432</v>
      </c>
      <c r="U1" s="115" t="s">
        <v>503</v>
      </c>
      <c r="V1" s="115" t="s">
        <v>504</v>
      </c>
      <c r="W1" s="115" t="s">
        <v>505</v>
      </c>
      <c r="X1" s="115" t="s">
        <v>506</v>
      </c>
      <c r="Y1" s="115" t="s">
        <v>507</v>
      </c>
      <c r="Z1" s="115" t="s">
        <v>508</v>
      </c>
      <c r="AA1" s="115" t="s">
        <v>509</v>
      </c>
      <c r="AB1" s="115" t="s">
        <v>510</v>
      </c>
      <c r="AC1" s="115" t="s">
        <v>511</v>
      </c>
      <c r="AD1" s="115" t="s">
        <v>512</v>
      </c>
      <c r="AE1" s="115" t="s">
        <v>513</v>
      </c>
      <c r="AF1" s="115" t="s">
        <v>514</v>
      </c>
      <c r="AG1" s="116" t="s">
        <v>515</v>
      </c>
      <c r="AH1" s="115" t="s">
        <v>516</v>
      </c>
      <c r="AI1" s="115" t="s">
        <v>517</v>
      </c>
      <c r="AJ1" s="115" t="s">
        <v>518</v>
      </c>
      <c r="AK1" s="115" t="s">
        <v>519</v>
      </c>
      <c r="AL1" s="115" t="s">
        <v>520</v>
      </c>
      <c r="AM1" s="115" t="s">
        <v>521</v>
      </c>
      <c r="AN1" s="115" t="s">
        <v>522</v>
      </c>
      <c r="AO1" s="117" t="s">
        <v>523</v>
      </c>
      <c r="AP1" s="118" t="s">
        <v>524</v>
      </c>
      <c r="AQ1" s="117" t="s">
        <v>525</v>
      </c>
      <c r="AR1" s="117" t="s">
        <v>526</v>
      </c>
      <c r="AS1" s="118" t="s">
        <v>527</v>
      </c>
      <c r="AT1" s="115" t="s">
        <v>528</v>
      </c>
      <c r="AU1" s="115" t="s">
        <v>529</v>
      </c>
      <c r="AV1" s="119" t="s">
        <v>636</v>
      </c>
      <c r="AW1" s="120" t="s">
        <v>531</v>
      </c>
      <c r="AX1" s="120" t="s">
        <v>532</v>
      </c>
      <c r="AY1" s="120" t="s">
        <v>533</v>
      </c>
      <c r="AZ1" s="120" t="s">
        <v>534</v>
      </c>
      <c r="BA1" s="120" t="s">
        <v>535</v>
      </c>
      <c r="BB1" s="120" t="s">
        <v>536</v>
      </c>
      <c r="BC1" s="120" t="s">
        <v>537</v>
      </c>
      <c r="BD1" s="120" t="s">
        <v>659</v>
      </c>
      <c r="BE1" s="120" t="s">
        <v>660</v>
      </c>
      <c r="BF1" s="120" t="s">
        <v>538</v>
      </c>
      <c r="BG1" s="120" t="s">
        <v>539</v>
      </c>
      <c r="BH1" s="120" t="s">
        <v>540</v>
      </c>
      <c r="BI1" s="120" t="s">
        <v>541</v>
      </c>
      <c r="BJ1" s="120" t="s">
        <v>542</v>
      </c>
      <c r="BK1" s="120" t="s">
        <v>543</v>
      </c>
      <c r="BL1" s="120" t="s">
        <v>544</v>
      </c>
      <c r="BM1" s="120" t="s">
        <v>545</v>
      </c>
      <c r="BN1" s="120" t="s">
        <v>546</v>
      </c>
      <c r="BO1" s="120" t="s">
        <v>585</v>
      </c>
      <c r="BP1" s="120" t="s">
        <v>548</v>
      </c>
      <c r="BQ1" s="120" t="s">
        <v>549</v>
      </c>
      <c r="BR1" s="120" t="s">
        <v>550</v>
      </c>
      <c r="BS1" s="120" t="s">
        <v>551</v>
      </c>
      <c r="BT1" s="120" t="s">
        <v>552</v>
      </c>
      <c r="BU1" s="121" t="s">
        <v>553</v>
      </c>
      <c r="BV1" s="120" t="s">
        <v>396</v>
      </c>
      <c r="BW1" s="120" t="s">
        <v>5</v>
      </c>
      <c r="BX1" s="97" t="s">
        <v>346</v>
      </c>
      <c r="BY1" s="97" t="s">
        <v>603</v>
      </c>
      <c r="BZ1" s="97" t="s">
        <v>587</v>
      </c>
      <c r="CA1" s="97" t="s">
        <v>661</v>
      </c>
      <c r="CB1" s="97"/>
    </row>
    <row r="2" spans="1:80" x14ac:dyDescent="0.2">
      <c r="A2" t="s">
        <v>673</v>
      </c>
      <c r="B2" s="108">
        <v>0</v>
      </c>
      <c r="C2" s="122">
        <v>30</v>
      </c>
      <c r="D2" s="122">
        <v>0</v>
      </c>
      <c r="E2" s="122">
        <v>7</v>
      </c>
      <c r="F2" s="122">
        <v>85</v>
      </c>
      <c r="G2" s="122">
        <v>0</v>
      </c>
      <c r="H2" s="122">
        <v>0</v>
      </c>
      <c r="I2" s="122">
        <v>0</v>
      </c>
      <c r="J2" s="122">
        <v>0</v>
      </c>
      <c r="K2" s="122">
        <v>1</v>
      </c>
      <c r="L2" s="122">
        <v>2</v>
      </c>
      <c r="M2" s="122">
        <v>5</v>
      </c>
      <c r="N2" s="123">
        <v>100</v>
      </c>
      <c r="O2" s="122">
        <v>2</v>
      </c>
      <c r="P2" s="122">
        <v>149</v>
      </c>
      <c r="Q2" s="122">
        <v>54</v>
      </c>
      <c r="R2" s="122">
        <v>0</v>
      </c>
      <c r="S2" s="122">
        <v>0</v>
      </c>
      <c r="T2" s="122">
        <v>0</v>
      </c>
      <c r="U2" s="122">
        <v>0</v>
      </c>
      <c r="V2" s="122">
        <v>0</v>
      </c>
      <c r="W2" s="122">
        <v>0</v>
      </c>
      <c r="X2" s="122">
        <v>0</v>
      </c>
      <c r="Y2" s="122">
        <v>62</v>
      </c>
      <c r="Z2" s="122">
        <v>0</v>
      </c>
      <c r="AA2" s="122">
        <v>0</v>
      </c>
      <c r="AB2" s="122">
        <v>4</v>
      </c>
      <c r="AC2" s="122">
        <v>0</v>
      </c>
      <c r="AD2" s="122">
        <v>0</v>
      </c>
      <c r="AE2" s="122">
        <v>0</v>
      </c>
      <c r="AF2" s="122">
        <v>0</v>
      </c>
      <c r="AG2" s="123">
        <v>4</v>
      </c>
      <c r="AH2" s="122">
        <v>0</v>
      </c>
      <c r="AI2" s="122">
        <v>11</v>
      </c>
      <c r="AJ2" s="122">
        <v>0</v>
      </c>
      <c r="AK2" s="122">
        <v>0</v>
      </c>
      <c r="AL2" s="122">
        <v>0</v>
      </c>
      <c r="AM2" s="122">
        <v>9</v>
      </c>
      <c r="AN2" s="122">
        <v>0</v>
      </c>
      <c r="AO2" s="122">
        <v>23</v>
      </c>
      <c r="AP2" s="123">
        <v>32</v>
      </c>
      <c r="AQ2" s="122">
        <v>134</v>
      </c>
      <c r="AR2" s="122">
        <v>0</v>
      </c>
      <c r="AS2" s="123">
        <v>134</v>
      </c>
      <c r="AT2" s="122">
        <v>0</v>
      </c>
      <c r="AU2" s="122">
        <v>0</v>
      </c>
      <c r="AV2" s="122">
        <v>22</v>
      </c>
      <c r="AW2" s="122">
        <v>1</v>
      </c>
      <c r="AX2" s="122">
        <v>3</v>
      </c>
      <c r="AY2" s="122">
        <v>0</v>
      </c>
      <c r="AZ2" s="122">
        <v>0</v>
      </c>
      <c r="BA2" s="122">
        <v>3</v>
      </c>
      <c r="BB2" s="122">
        <v>0</v>
      </c>
      <c r="BC2" s="122">
        <v>32</v>
      </c>
      <c r="BD2" s="122">
        <v>0</v>
      </c>
      <c r="BE2" s="122">
        <v>2</v>
      </c>
      <c r="BF2" s="122">
        <v>0</v>
      </c>
      <c r="BG2" s="122">
        <v>0</v>
      </c>
      <c r="BH2" s="122">
        <v>0</v>
      </c>
      <c r="BI2" s="122">
        <v>0</v>
      </c>
      <c r="BJ2" s="122">
        <v>0</v>
      </c>
      <c r="BK2" s="122">
        <v>0</v>
      </c>
      <c r="BL2" s="122">
        <v>0</v>
      </c>
      <c r="BM2" s="122">
        <v>4</v>
      </c>
      <c r="BN2" s="122">
        <v>0</v>
      </c>
      <c r="BO2" s="122">
        <v>64</v>
      </c>
      <c r="BP2" s="122">
        <v>1</v>
      </c>
      <c r="BQ2" s="122">
        <v>0</v>
      </c>
      <c r="BR2" s="122">
        <v>0</v>
      </c>
      <c r="BS2" s="122">
        <v>0</v>
      </c>
      <c r="BT2" s="122">
        <v>0</v>
      </c>
      <c r="BU2" s="124">
        <v>0</v>
      </c>
      <c r="BV2" s="125">
        <v>3</v>
      </c>
      <c r="BW2" s="125">
        <v>0</v>
      </c>
      <c r="BX2" s="97">
        <v>713</v>
      </c>
      <c r="BY2" s="97">
        <v>578</v>
      </c>
      <c r="BZ2" s="97">
        <v>49</v>
      </c>
      <c r="CA2" s="97" t="s">
        <v>662</v>
      </c>
      <c r="CB2" s="97"/>
    </row>
    <row r="3" spans="1:80" x14ac:dyDescent="0.2">
      <c r="A3" t="s">
        <v>674</v>
      </c>
      <c r="B3" s="112">
        <v>5</v>
      </c>
      <c r="C3" s="108">
        <v>8</v>
      </c>
      <c r="D3" s="108">
        <v>0</v>
      </c>
      <c r="E3" s="108">
        <v>5</v>
      </c>
      <c r="F3" s="108">
        <v>54</v>
      </c>
      <c r="G3" s="126">
        <v>5</v>
      </c>
      <c r="H3" s="108">
        <v>0</v>
      </c>
      <c r="I3" s="108">
        <v>0</v>
      </c>
      <c r="J3" s="108">
        <v>0</v>
      </c>
      <c r="K3" s="108">
        <v>0</v>
      </c>
      <c r="L3" s="108">
        <v>0</v>
      </c>
      <c r="M3" s="108">
        <v>0</v>
      </c>
      <c r="N3" s="123">
        <v>64</v>
      </c>
      <c r="O3" s="108">
        <v>0</v>
      </c>
      <c r="P3" s="108">
        <v>97</v>
      </c>
      <c r="Q3" s="108">
        <v>47</v>
      </c>
      <c r="R3" s="108">
        <v>0</v>
      </c>
      <c r="S3" s="108">
        <v>0</v>
      </c>
      <c r="T3" s="108">
        <v>0</v>
      </c>
      <c r="U3" s="108">
        <v>0</v>
      </c>
      <c r="V3" s="108">
        <v>0</v>
      </c>
      <c r="W3" s="108">
        <v>0</v>
      </c>
      <c r="X3" s="108">
        <v>0</v>
      </c>
      <c r="Y3" s="108">
        <v>45</v>
      </c>
      <c r="Z3" s="108">
        <v>0</v>
      </c>
      <c r="AA3" s="108">
        <v>0</v>
      </c>
      <c r="AB3" s="108">
        <v>3</v>
      </c>
      <c r="AC3" s="108">
        <v>0</v>
      </c>
      <c r="AD3" s="108">
        <v>0</v>
      </c>
      <c r="AE3" s="108">
        <v>0</v>
      </c>
      <c r="AF3" s="108">
        <v>0</v>
      </c>
      <c r="AG3" s="123">
        <v>3</v>
      </c>
      <c r="AH3" s="108">
        <v>0</v>
      </c>
      <c r="AI3" s="108">
        <v>11</v>
      </c>
      <c r="AJ3" s="108">
        <v>0</v>
      </c>
      <c r="AK3" s="108">
        <v>5</v>
      </c>
      <c r="AL3" s="108">
        <v>0</v>
      </c>
      <c r="AM3" s="108">
        <v>15</v>
      </c>
      <c r="AN3" s="108">
        <v>0</v>
      </c>
      <c r="AO3" s="108">
        <v>15</v>
      </c>
      <c r="AP3" s="123">
        <v>35</v>
      </c>
      <c r="AQ3" s="108">
        <v>143</v>
      </c>
      <c r="AR3" s="108">
        <v>0</v>
      </c>
      <c r="AS3" s="123">
        <v>143</v>
      </c>
      <c r="AT3" s="108">
        <v>0</v>
      </c>
      <c r="AU3" s="108">
        <v>0</v>
      </c>
      <c r="AV3" s="108">
        <v>36</v>
      </c>
      <c r="AW3" s="108">
        <v>0</v>
      </c>
      <c r="AX3" s="108">
        <v>7</v>
      </c>
      <c r="AY3" s="108">
        <v>0</v>
      </c>
      <c r="AZ3" s="108">
        <v>1</v>
      </c>
      <c r="BA3" s="108">
        <v>0</v>
      </c>
      <c r="BB3" s="108">
        <v>0</v>
      </c>
      <c r="BC3" s="108">
        <v>23</v>
      </c>
      <c r="BD3" s="108">
        <v>20</v>
      </c>
      <c r="BE3" s="108">
        <v>0</v>
      </c>
      <c r="BF3" s="108">
        <v>0</v>
      </c>
      <c r="BG3" s="108">
        <v>0</v>
      </c>
      <c r="BH3" s="108">
        <v>0</v>
      </c>
      <c r="BI3" s="108">
        <v>0</v>
      </c>
      <c r="BJ3" s="108">
        <v>0</v>
      </c>
      <c r="BK3" s="108">
        <v>0</v>
      </c>
      <c r="BL3" s="108">
        <v>0</v>
      </c>
      <c r="BM3" s="108">
        <v>0</v>
      </c>
      <c r="BN3" s="108">
        <v>0</v>
      </c>
      <c r="BO3" s="108">
        <v>73</v>
      </c>
      <c r="BP3" s="108">
        <v>0</v>
      </c>
      <c r="BQ3" s="108">
        <v>0</v>
      </c>
      <c r="BR3" s="108">
        <v>0</v>
      </c>
      <c r="BS3" s="108">
        <v>6</v>
      </c>
      <c r="BT3" s="108">
        <v>0</v>
      </c>
      <c r="BU3" s="127">
        <v>0</v>
      </c>
      <c r="BV3" s="108">
        <v>4</v>
      </c>
      <c r="BW3" s="108">
        <v>0</v>
      </c>
      <c r="BX3" s="97">
        <v>623</v>
      </c>
      <c r="BY3" s="97">
        <v>453</v>
      </c>
      <c r="BZ3" s="97">
        <v>61</v>
      </c>
      <c r="CA3" s="97" t="s">
        <v>663</v>
      </c>
      <c r="CB3" s="97"/>
    </row>
    <row r="4" spans="1:80" x14ac:dyDescent="0.2">
      <c r="A4" t="s">
        <v>675</v>
      </c>
      <c r="B4" s="112">
        <v>10</v>
      </c>
      <c r="C4" s="122">
        <v>5</v>
      </c>
      <c r="D4" s="122">
        <v>0</v>
      </c>
      <c r="E4" s="122">
        <v>1</v>
      </c>
      <c r="F4" s="122">
        <v>35</v>
      </c>
      <c r="G4" s="122">
        <v>11</v>
      </c>
      <c r="H4" s="122">
        <v>0</v>
      </c>
      <c r="I4" s="122">
        <v>0</v>
      </c>
      <c r="J4" s="122">
        <v>0</v>
      </c>
      <c r="K4" s="122">
        <v>5</v>
      </c>
      <c r="L4" s="122">
        <v>0</v>
      </c>
      <c r="M4" s="122">
        <v>0</v>
      </c>
      <c r="N4" s="123">
        <v>52</v>
      </c>
      <c r="O4" s="122">
        <v>0</v>
      </c>
      <c r="P4" s="122">
        <v>87</v>
      </c>
      <c r="Q4" s="122">
        <v>34</v>
      </c>
      <c r="R4" s="122">
        <v>0</v>
      </c>
      <c r="S4" s="122">
        <v>0</v>
      </c>
      <c r="T4" s="122">
        <v>0</v>
      </c>
      <c r="U4" s="122">
        <v>3</v>
      </c>
      <c r="V4" s="122">
        <v>0</v>
      </c>
      <c r="W4" s="122">
        <v>0</v>
      </c>
      <c r="X4" s="122">
        <v>0</v>
      </c>
      <c r="Y4" s="122">
        <v>31</v>
      </c>
      <c r="Z4" s="122">
        <v>0</v>
      </c>
      <c r="AA4" s="122">
        <v>0</v>
      </c>
      <c r="AB4" s="122">
        <v>2</v>
      </c>
      <c r="AC4" s="122">
        <v>0</v>
      </c>
      <c r="AD4" s="122">
        <v>0</v>
      </c>
      <c r="AE4" s="122">
        <v>0</v>
      </c>
      <c r="AF4" s="122">
        <v>0</v>
      </c>
      <c r="AG4" s="123">
        <v>2</v>
      </c>
      <c r="AH4" s="122">
        <v>0</v>
      </c>
      <c r="AI4" s="122">
        <v>5</v>
      </c>
      <c r="AJ4" s="122">
        <v>0</v>
      </c>
      <c r="AK4" s="122">
        <v>0</v>
      </c>
      <c r="AL4" s="122">
        <v>0</v>
      </c>
      <c r="AM4" s="122">
        <v>37</v>
      </c>
      <c r="AN4" s="122">
        <v>0</v>
      </c>
      <c r="AO4" s="122">
        <v>22</v>
      </c>
      <c r="AP4" s="123">
        <v>59</v>
      </c>
      <c r="AQ4" s="122">
        <v>85</v>
      </c>
      <c r="AR4" s="122">
        <v>0</v>
      </c>
      <c r="AS4" s="123">
        <v>85</v>
      </c>
      <c r="AT4" s="122">
        <v>0</v>
      </c>
      <c r="AU4" s="122">
        <v>0</v>
      </c>
      <c r="AV4" s="122">
        <v>17</v>
      </c>
      <c r="AW4" s="122">
        <v>4</v>
      </c>
      <c r="AX4" s="122">
        <v>0</v>
      </c>
      <c r="AY4" s="122">
        <v>0</v>
      </c>
      <c r="AZ4" s="122">
        <v>0</v>
      </c>
      <c r="BA4" s="122">
        <v>0</v>
      </c>
      <c r="BB4" s="122">
        <v>0</v>
      </c>
      <c r="BC4" s="122">
        <v>21</v>
      </c>
      <c r="BD4" s="122">
        <v>16</v>
      </c>
      <c r="BE4" s="122">
        <v>4</v>
      </c>
      <c r="BF4" s="122">
        <v>0</v>
      </c>
      <c r="BG4" s="122">
        <v>0</v>
      </c>
      <c r="BH4" s="122">
        <v>0</v>
      </c>
      <c r="BI4" s="122">
        <v>1</v>
      </c>
      <c r="BJ4" s="122">
        <v>0</v>
      </c>
      <c r="BK4" s="122">
        <v>0</v>
      </c>
      <c r="BL4" s="122">
        <v>0</v>
      </c>
      <c r="BM4" s="122">
        <v>2</v>
      </c>
      <c r="BN4" s="122">
        <v>0</v>
      </c>
      <c r="BO4" s="122">
        <v>70</v>
      </c>
      <c r="BP4" s="122">
        <v>0</v>
      </c>
      <c r="BQ4" s="122">
        <v>0</v>
      </c>
      <c r="BR4" s="122">
        <v>0</v>
      </c>
      <c r="BS4" s="122">
        <v>1</v>
      </c>
      <c r="BT4" s="122">
        <v>0</v>
      </c>
      <c r="BU4" s="124">
        <v>0</v>
      </c>
      <c r="BV4" s="122">
        <v>1</v>
      </c>
      <c r="BW4" s="122">
        <v>0</v>
      </c>
      <c r="BX4" s="97">
        <v>500</v>
      </c>
      <c r="BY4" s="97">
        <v>363</v>
      </c>
      <c r="BZ4" s="97">
        <v>50</v>
      </c>
      <c r="CA4" s="97" t="s">
        <v>664</v>
      </c>
      <c r="CB4" s="97"/>
    </row>
    <row r="5" spans="1:80" x14ac:dyDescent="0.2">
      <c r="A5" t="s">
        <v>676</v>
      </c>
      <c r="B5" s="112">
        <v>15</v>
      </c>
      <c r="C5" s="108">
        <v>2</v>
      </c>
      <c r="D5" s="108">
        <v>0</v>
      </c>
      <c r="E5" s="108">
        <v>0</v>
      </c>
      <c r="F5" s="108">
        <v>8</v>
      </c>
      <c r="G5" s="108">
        <v>0</v>
      </c>
      <c r="H5" s="108">
        <v>0</v>
      </c>
      <c r="I5" s="108">
        <v>0</v>
      </c>
      <c r="J5" s="108">
        <v>0</v>
      </c>
      <c r="K5" s="108">
        <v>0</v>
      </c>
      <c r="L5" s="108">
        <v>0</v>
      </c>
      <c r="M5" s="108">
        <v>0</v>
      </c>
      <c r="N5" s="123">
        <v>8</v>
      </c>
      <c r="O5" s="108">
        <v>0</v>
      </c>
      <c r="P5" s="108">
        <v>53</v>
      </c>
      <c r="Q5" s="108">
        <v>5</v>
      </c>
      <c r="R5" s="108">
        <v>0</v>
      </c>
      <c r="S5" s="108">
        <v>0</v>
      </c>
      <c r="T5" s="108">
        <v>0</v>
      </c>
      <c r="U5" s="108">
        <v>2</v>
      </c>
      <c r="V5" s="108">
        <v>0</v>
      </c>
      <c r="W5" s="108">
        <v>0</v>
      </c>
      <c r="X5" s="108">
        <v>0</v>
      </c>
      <c r="Y5" s="108">
        <v>14</v>
      </c>
      <c r="Z5" s="108">
        <v>0</v>
      </c>
      <c r="AA5" s="108">
        <v>0</v>
      </c>
      <c r="AB5" s="108">
        <v>0</v>
      </c>
      <c r="AC5" s="108">
        <v>0</v>
      </c>
      <c r="AD5" s="108">
        <v>0</v>
      </c>
      <c r="AE5" s="108">
        <v>0</v>
      </c>
      <c r="AF5" s="108">
        <v>1</v>
      </c>
      <c r="AG5" s="123">
        <v>1</v>
      </c>
      <c r="AH5" s="108">
        <v>0</v>
      </c>
      <c r="AI5" s="108">
        <v>0</v>
      </c>
      <c r="AJ5" s="108">
        <v>0</v>
      </c>
      <c r="AK5" s="108">
        <v>0</v>
      </c>
      <c r="AL5" s="108">
        <v>0</v>
      </c>
      <c r="AM5" s="108">
        <v>41</v>
      </c>
      <c r="AN5" s="108">
        <v>0</v>
      </c>
      <c r="AO5" s="108">
        <v>17</v>
      </c>
      <c r="AP5" s="123">
        <v>58</v>
      </c>
      <c r="AQ5" s="108">
        <v>0</v>
      </c>
      <c r="AR5" s="108">
        <v>0</v>
      </c>
      <c r="AS5" s="123">
        <v>0</v>
      </c>
      <c r="AT5" s="108">
        <v>0</v>
      </c>
      <c r="AU5" s="108">
        <v>0</v>
      </c>
      <c r="AV5" s="108">
        <v>5</v>
      </c>
      <c r="AW5" s="108">
        <v>0</v>
      </c>
      <c r="AX5" s="126">
        <v>1</v>
      </c>
      <c r="AY5" s="108">
        <v>0</v>
      </c>
      <c r="AZ5" s="108">
        <v>0</v>
      </c>
      <c r="BA5" s="108">
        <v>1</v>
      </c>
      <c r="BB5" s="108">
        <v>0</v>
      </c>
      <c r="BC5" s="108">
        <v>10</v>
      </c>
      <c r="BD5" s="108">
        <v>4</v>
      </c>
      <c r="BE5" s="108"/>
      <c r="BF5" s="108">
        <v>0</v>
      </c>
      <c r="BG5" s="108">
        <v>0</v>
      </c>
      <c r="BH5" s="108">
        <v>0</v>
      </c>
      <c r="BI5" s="108">
        <v>0</v>
      </c>
      <c r="BJ5" s="108">
        <v>0</v>
      </c>
      <c r="BK5" s="108">
        <v>0</v>
      </c>
      <c r="BL5" s="108">
        <v>0</v>
      </c>
      <c r="BM5" s="108">
        <v>0</v>
      </c>
      <c r="BN5" s="108">
        <v>0</v>
      </c>
      <c r="BO5" s="108">
        <v>79</v>
      </c>
      <c r="BP5" s="108">
        <v>0</v>
      </c>
      <c r="BQ5" s="108">
        <v>0</v>
      </c>
      <c r="BR5" s="108">
        <v>0</v>
      </c>
      <c r="BS5" s="108">
        <v>0</v>
      </c>
      <c r="BT5" s="108">
        <v>0</v>
      </c>
      <c r="BU5" s="127">
        <v>0</v>
      </c>
      <c r="BV5" s="108">
        <v>0</v>
      </c>
      <c r="BW5" s="108">
        <v>73</v>
      </c>
      <c r="BX5" s="97">
        <v>316</v>
      </c>
      <c r="BY5" s="97">
        <v>143</v>
      </c>
      <c r="BZ5" s="97">
        <v>89</v>
      </c>
      <c r="CA5" s="97" t="s">
        <v>665</v>
      </c>
      <c r="CB5" s="97"/>
    </row>
    <row r="6" spans="1:80" x14ac:dyDescent="0.2">
      <c r="A6" t="s">
        <v>677</v>
      </c>
      <c r="B6" s="112">
        <v>20</v>
      </c>
      <c r="C6" s="122">
        <v>3</v>
      </c>
      <c r="D6" s="122">
        <v>0</v>
      </c>
      <c r="E6" s="122">
        <v>3</v>
      </c>
      <c r="F6" s="122">
        <v>8</v>
      </c>
      <c r="G6" s="122">
        <v>0</v>
      </c>
      <c r="H6" s="122">
        <v>0</v>
      </c>
      <c r="I6" s="122">
        <v>0</v>
      </c>
      <c r="J6" s="122">
        <v>0</v>
      </c>
      <c r="K6" s="122">
        <v>1</v>
      </c>
      <c r="L6" s="122">
        <v>1</v>
      </c>
      <c r="M6" s="122">
        <v>0</v>
      </c>
      <c r="N6" s="123">
        <v>13</v>
      </c>
      <c r="O6" s="122">
        <v>0</v>
      </c>
      <c r="P6" s="122">
        <v>87</v>
      </c>
      <c r="Q6" s="122">
        <v>5</v>
      </c>
      <c r="R6" s="122">
        <v>0</v>
      </c>
      <c r="S6" s="122">
        <v>0</v>
      </c>
      <c r="T6" s="122">
        <v>0</v>
      </c>
      <c r="U6" s="122">
        <v>1</v>
      </c>
      <c r="V6" s="122">
        <v>0</v>
      </c>
      <c r="W6" s="122">
        <v>0</v>
      </c>
      <c r="X6" s="122">
        <v>0</v>
      </c>
      <c r="Y6" s="122">
        <v>13</v>
      </c>
      <c r="Z6" s="122">
        <v>0</v>
      </c>
      <c r="AA6" s="122">
        <v>0</v>
      </c>
      <c r="AB6" s="122">
        <v>0</v>
      </c>
      <c r="AC6" s="122">
        <v>0</v>
      </c>
      <c r="AD6" s="122">
        <v>0</v>
      </c>
      <c r="AE6" s="122">
        <v>0</v>
      </c>
      <c r="AF6" s="122">
        <v>0</v>
      </c>
      <c r="AG6" s="123">
        <v>0</v>
      </c>
      <c r="AH6" s="122">
        <v>0</v>
      </c>
      <c r="AI6" s="122">
        <v>1</v>
      </c>
      <c r="AJ6" s="122">
        <v>0</v>
      </c>
      <c r="AK6" s="122">
        <v>1</v>
      </c>
      <c r="AL6" s="122">
        <v>0</v>
      </c>
      <c r="AM6" s="122">
        <v>35</v>
      </c>
      <c r="AN6" s="122">
        <v>0</v>
      </c>
      <c r="AO6" s="122">
        <v>36</v>
      </c>
      <c r="AP6" s="123">
        <v>72</v>
      </c>
      <c r="AQ6" s="122">
        <v>4</v>
      </c>
      <c r="AR6" s="122">
        <v>0</v>
      </c>
      <c r="AS6" s="123">
        <v>4</v>
      </c>
      <c r="AT6" s="122">
        <v>0</v>
      </c>
      <c r="AU6" s="122">
        <v>0</v>
      </c>
      <c r="AV6" s="122">
        <v>2</v>
      </c>
      <c r="AW6" s="122">
        <v>0</v>
      </c>
      <c r="AX6" s="122">
        <v>0</v>
      </c>
      <c r="AY6" s="122">
        <v>0</v>
      </c>
      <c r="AZ6" s="122">
        <v>0</v>
      </c>
      <c r="BA6" s="122">
        <v>1</v>
      </c>
      <c r="BB6" s="122">
        <v>0</v>
      </c>
      <c r="BC6" s="122">
        <v>0</v>
      </c>
      <c r="BD6" s="122">
        <v>12</v>
      </c>
      <c r="BE6" s="122">
        <v>6</v>
      </c>
      <c r="BF6" s="122">
        <v>0</v>
      </c>
      <c r="BG6" s="122">
        <v>0</v>
      </c>
      <c r="BH6" s="122">
        <v>0</v>
      </c>
      <c r="BI6" s="122">
        <v>0</v>
      </c>
      <c r="BJ6" s="122">
        <v>0</v>
      </c>
      <c r="BK6" s="122">
        <v>0</v>
      </c>
      <c r="BL6" s="122">
        <v>0</v>
      </c>
      <c r="BM6" s="122">
        <v>1</v>
      </c>
      <c r="BN6" s="122">
        <v>0</v>
      </c>
      <c r="BO6" s="122">
        <v>123</v>
      </c>
      <c r="BP6" s="122">
        <v>0</v>
      </c>
      <c r="BQ6" s="122">
        <v>0</v>
      </c>
      <c r="BR6" s="122">
        <v>0</v>
      </c>
      <c r="BS6" s="122">
        <v>0</v>
      </c>
      <c r="BT6" s="122">
        <v>0</v>
      </c>
      <c r="BU6" s="124">
        <v>0</v>
      </c>
      <c r="BV6" s="122">
        <v>9</v>
      </c>
      <c r="BW6" s="122">
        <v>7</v>
      </c>
      <c r="BX6" s="97">
        <v>360</v>
      </c>
      <c r="BY6" s="97">
        <v>199</v>
      </c>
      <c r="BZ6" s="97">
        <v>36</v>
      </c>
      <c r="CA6" s="97" t="s">
        <v>666</v>
      </c>
      <c r="CB6" s="97"/>
    </row>
    <row r="7" spans="1:80" x14ac:dyDescent="0.2">
      <c r="A7" t="s">
        <v>678</v>
      </c>
      <c r="B7" s="112">
        <v>25</v>
      </c>
      <c r="C7" s="108">
        <v>3</v>
      </c>
      <c r="D7" s="108">
        <v>0</v>
      </c>
      <c r="E7" s="108">
        <v>0</v>
      </c>
      <c r="F7" s="108">
        <v>0</v>
      </c>
      <c r="G7" s="108">
        <v>1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23">
        <v>1</v>
      </c>
      <c r="O7" s="108">
        <v>0</v>
      </c>
      <c r="P7" s="108">
        <v>33</v>
      </c>
      <c r="Q7" s="108">
        <v>2</v>
      </c>
      <c r="R7" s="108">
        <v>0</v>
      </c>
      <c r="S7" s="108">
        <v>0</v>
      </c>
      <c r="T7" s="108">
        <v>0</v>
      </c>
      <c r="U7" s="108">
        <v>0</v>
      </c>
      <c r="V7" s="108">
        <v>0</v>
      </c>
      <c r="W7" s="108">
        <v>0</v>
      </c>
      <c r="X7" s="108">
        <v>0</v>
      </c>
      <c r="Y7" s="108">
        <v>15</v>
      </c>
      <c r="Z7" s="108">
        <v>0</v>
      </c>
      <c r="AA7" s="108">
        <v>0</v>
      </c>
      <c r="AB7" s="108">
        <v>0</v>
      </c>
      <c r="AC7" s="108">
        <v>0</v>
      </c>
      <c r="AD7" s="108">
        <v>0</v>
      </c>
      <c r="AE7" s="108">
        <v>0</v>
      </c>
      <c r="AF7" s="108">
        <v>0</v>
      </c>
      <c r="AG7" s="123">
        <v>0</v>
      </c>
      <c r="AH7" s="108">
        <v>0</v>
      </c>
      <c r="AI7" s="108">
        <v>0</v>
      </c>
      <c r="AJ7" s="108">
        <v>0</v>
      </c>
      <c r="AK7" s="108">
        <v>0</v>
      </c>
      <c r="AL7" s="108">
        <v>0</v>
      </c>
      <c r="AM7" s="108">
        <v>6</v>
      </c>
      <c r="AN7" s="108">
        <v>0</v>
      </c>
      <c r="AO7" s="108">
        <v>10</v>
      </c>
      <c r="AP7" s="123">
        <v>16</v>
      </c>
      <c r="AQ7" s="108">
        <v>0</v>
      </c>
      <c r="AR7" s="108">
        <v>0</v>
      </c>
      <c r="AS7" s="123">
        <v>0</v>
      </c>
      <c r="AT7" s="108">
        <v>0</v>
      </c>
      <c r="AU7" s="108">
        <v>0</v>
      </c>
      <c r="AV7" s="108">
        <v>2</v>
      </c>
      <c r="AW7" s="108">
        <v>0</v>
      </c>
      <c r="AX7" s="108">
        <v>1</v>
      </c>
      <c r="AY7" s="108">
        <v>1</v>
      </c>
      <c r="AZ7" s="108">
        <v>0</v>
      </c>
      <c r="BA7" s="108">
        <v>0</v>
      </c>
      <c r="BB7" s="108">
        <v>0</v>
      </c>
      <c r="BC7" s="108">
        <v>11</v>
      </c>
      <c r="BD7" s="108">
        <v>0</v>
      </c>
      <c r="BE7" s="108"/>
      <c r="BF7" s="108">
        <v>0</v>
      </c>
      <c r="BG7" s="108">
        <v>0</v>
      </c>
      <c r="BH7" s="108">
        <v>0</v>
      </c>
      <c r="BI7" s="108">
        <v>0</v>
      </c>
      <c r="BJ7" s="108">
        <v>0</v>
      </c>
      <c r="BK7" s="108">
        <v>0</v>
      </c>
      <c r="BL7" s="108">
        <v>0</v>
      </c>
      <c r="BM7" s="108">
        <v>0</v>
      </c>
      <c r="BN7" s="108">
        <v>0</v>
      </c>
      <c r="BO7" s="108">
        <v>149</v>
      </c>
      <c r="BP7" s="108">
        <v>0</v>
      </c>
      <c r="BQ7" s="108">
        <v>0</v>
      </c>
      <c r="BR7" s="108">
        <v>0</v>
      </c>
      <c r="BS7" s="108">
        <v>0</v>
      </c>
      <c r="BT7" s="108">
        <v>0</v>
      </c>
      <c r="BU7" s="127">
        <v>0</v>
      </c>
      <c r="BV7" s="108">
        <v>16</v>
      </c>
      <c r="BW7" s="108">
        <v>48</v>
      </c>
      <c r="BX7" s="97">
        <v>298</v>
      </c>
      <c r="BY7" s="97">
        <v>70</v>
      </c>
      <c r="BZ7" s="97">
        <v>77</v>
      </c>
      <c r="CA7" s="97" t="s">
        <v>667</v>
      </c>
      <c r="CB7" s="97"/>
    </row>
    <row r="8" spans="1:80" x14ac:dyDescent="0.2">
      <c r="A8" t="s">
        <v>679</v>
      </c>
      <c r="B8" s="112">
        <v>30</v>
      </c>
      <c r="C8" s="122">
        <v>1</v>
      </c>
      <c r="D8" s="122">
        <v>0</v>
      </c>
      <c r="E8" s="122">
        <v>0</v>
      </c>
      <c r="F8" s="122">
        <v>63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  <c r="L8" s="122">
        <v>0</v>
      </c>
      <c r="M8" s="122">
        <v>0</v>
      </c>
      <c r="N8" s="123">
        <v>63</v>
      </c>
      <c r="O8" s="122">
        <v>1</v>
      </c>
      <c r="P8" s="122">
        <v>62</v>
      </c>
      <c r="Q8" s="122">
        <v>9</v>
      </c>
      <c r="R8" s="122">
        <v>0</v>
      </c>
      <c r="S8" s="122">
        <v>0</v>
      </c>
      <c r="T8" s="122">
        <v>0</v>
      </c>
      <c r="U8" s="122">
        <v>0</v>
      </c>
      <c r="V8" s="122">
        <v>0</v>
      </c>
      <c r="W8" s="122">
        <v>0</v>
      </c>
      <c r="X8" s="122">
        <v>0</v>
      </c>
      <c r="Y8" s="122">
        <v>19</v>
      </c>
      <c r="Z8" s="122">
        <v>0</v>
      </c>
      <c r="AA8" s="122">
        <v>0</v>
      </c>
      <c r="AB8" s="122">
        <v>0</v>
      </c>
      <c r="AC8" s="122">
        <v>0</v>
      </c>
      <c r="AD8" s="122">
        <v>0</v>
      </c>
      <c r="AE8" s="122">
        <v>0</v>
      </c>
      <c r="AF8" s="122">
        <v>0</v>
      </c>
      <c r="AG8" s="123">
        <v>0</v>
      </c>
      <c r="AH8" s="122">
        <v>0</v>
      </c>
      <c r="AI8" s="122">
        <v>0</v>
      </c>
      <c r="AJ8" s="122">
        <v>0</v>
      </c>
      <c r="AK8" s="122">
        <v>0</v>
      </c>
      <c r="AL8" s="122">
        <v>0</v>
      </c>
      <c r="AM8" s="122">
        <v>5</v>
      </c>
      <c r="AN8" s="122">
        <v>0</v>
      </c>
      <c r="AO8" s="122">
        <v>30</v>
      </c>
      <c r="AP8" s="123">
        <v>35</v>
      </c>
      <c r="AQ8" s="122">
        <v>4</v>
      </c>
      <c r="AR8" s="122">
        <v>0</v>
      </c>
      <c r="AS8" s="123">
        <v>4</v>
      </c>
      <c r="AT8" s="122">
        <v>1</v>
      </c>
      <c r="AU8" s="122">
        <v>0</v>
      </c>
      <c r="AV8" s="122"/>
      <c r="AW8" s="122">
        <v>0</v>
      </c>
      <c r="AX8" s="122">
        <v>0</v>
      </c>
      <c r="AY8" s="122">
        <v>2</v>
      </c>
      <c r="AZ8" s="122">
        <v>0</v>
      </c>
      <c r="BA8" s="122">
        <v>0</v>
      </c>
      <c r="BB8" s="122">
        <v>0</v>
      </c>
      <c r="BC8" s="122">
        <v>23</v>
      </c>
      <c r="BD8" s="122">
        <v>3</v>
      </c>
      <c r="BE8" s="122"/>
      <c r="BF8" s="122">
        <v>1</v>
      </c>
      <c r="BG8" s="122">
        <v>0</v>
      </c>
      <c r="BH8" s="122">
        <v>0</v>
      </c>
      <c r="BI8" s="122">
        <v>0</v>
      </c>
      <c r="BJ8" s="122">
        <v>2</v>
      </c>
      <c r="BK8" s="122">
        <v>0</v>
      </c>
      <c r="BL8" s="122">
        <v>0</v>
      </c>
      <c r="BM8" s="122">
        <v>0</v>
      </c>
      <c r="BN8" s="122">
        <v>0</v>
      </c>
      <c r="BO8" s="122">
        <v>53</v>
      </c>
      <c r="BP8" s="122">
        <v>0</v>
      </c>
      <c r="BQ8" s="122">
        <v>0</v>
      </c>
      <c r="BR8" s="122">
        <v>0</v>
      </c>
      <c r="BS8" s="122">
        <v>0</v>
      </c>
      <c r="BT8" s="122">
        <v>0</v>
      </c>
      <c r="BU8" s="124">
        <v>0</v>
      </c>
      <c r="BV8" s="122">
        <v>13</v>
      </c>
      <c r="BW8" s="122">
        <v>0</v>
      </c>
      <c r="BX8" s="97">
        <v>292</v>
      </c>
      <c r="BY8" s="97">
        <v>195</v>
      </c>
      <c r="BZ8" s="97">
        <v>44</v>
      </c>
      <c r="CA8" s="97" t="s">
        <v>668</v>
      </c>
      <c r="CB8" s="97"/>
    </row>
    <row r="9" spans="1:80" x14ac:dyDescent="0.2">
      <c r="A9" t="s">
        <v>680</v>
      </c>
      <c r="B9" s="112">
        <v>35</v>
      </c>
      <c r="C9" s="108">
        <v>3</v>
      </c>
      <c r="D9" s="108">
        <v>0</v>
      </c>
      <c r="E9" s="108">
        <v>1</v>
      </c>
      <c r="F9" s="108">
        <v>51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23">
        <v>52</v>
      </c>
      <c r="O9" s="108">
        <v>0</v>
      </c>
      <c r="P9" s="108">
        <v>32</v>
      </c>
      <c r="Q9" s="108">
        <v>4</v>
      </c>
      <c r="R9" s="108">
        <v>0</v>
      </c>
      <c r="S9" s="108">
        <v>0</v>
      </c>
      <c r="T9" s="108">
        <v>0</v>
      </c>
      <c r="U9" s="108">
        <v>1</v>
      </c>
      <c r="V9" s="108">
        <v>0</v>
      </c>
      <c r="W9" s="108">
        <v>0</v>
      </c>
      <c r="X9" s="108">
        <v>0</v>
      </c>
      <c r="Y9" s="108">
        <v>10</v>
      </c>
      <c r="Z9" s="108">
        <v>0</v>
      </c>
      <c r="AA9" s="108">
        <v>0</v>
      </c>
      <c r="AB9" s="108">
        <v>0</v>
      </c>
      <c r="AC9" s="108">
        <v>0</v>
      </c>
      <c r="AD9" s="108">
        <v>0</v>
      </c>
      <c r="AE9" s="108">
        <v>0</v>
      </c>
      <c r="AF9" s="108">
        <v>0</v>
      </c>
      <c r="AG9" s="123">
        <v>0</v>
      </c>
      <c r="AH9" s="108">
        <v>0</v>
      </c>
      <c r="AI9" s="108">
        <v>0</v>
      </c>
      <c r="AJ9" s="108">
        <v>0</v>
      </c>
      <c r="AK9" s="108">
        <v>0</v>
      </c>
      <c r="AL9" s="108">
        <v>0</v>
      </c>
      <c r="AM9" s="108">
        <v>6</v>
      </c>
      <c r="AN9" s="108">
        <v>0</v>
      </c>
      <c r="AO9" s="108">
        <v>9</v>
      </c>
      <c r="AP9" s="123">
        <v>15</v>
      </c>
      <c r="AQ9" s="108">
        <v>0</v>
      </c>
      <c r="AR9" s="108">
        <v>0</v>
      </c>
      <c r="AS9" s="123">
        <v>0</v>
      </c>
      <c r="AT9" s="108">
        <v>0</v>
      </c>
      <c r="AU9" s="108">
        <v>0</v>
      </c>
      <c r="AV9" s="108"/>
      <c r="AW9" s="108">
        <v>0</v>
      </c>
      <c r="AX9" s="108">
        <v>0</v>
      </c>
      <c r="AY9" s="108">
        <v>0</v>
      </c>
      <c r="AZ9" s="108">
        <v>0</v>
      </c>
      <c r="BA9" s="108">
        <v>0</v>
      </c>
      <c r="BB9" s="108">
        <v>0</v>
      </c>
      <c r="BC9" s="108">
        <v>12</v>
      </c>
      <c r="BD9" s="108">
        <v>2</v>
      </c>
      <c r="BE9" s="108"/>
      <c r="BF9" s="108">
        <v>0</v>
      </c>
      <c r="BG9" s="108">
        <v>0</v>
      </c>
      <c r="BH9" s="108">
        <v>0</v>
      </c>
      <c r="BI9" s="108">
        <v>0</v>
      </c>
      <c r="BJ9" s="108">
        <v>0</v>
      </c>
      <c r="BK9" s="108">
        <v>0</v>
      </c>
      <c r="BL9" s="108">
        <v>0</v>
      </c>
      <c r="BM9" s="108">
        <v>0</v>
      </c>
      <c r="BN9" s="108">
        <v>0</v>
      </c>
      <c r="BO9" s="108">
        <v>62</v>
      </c>
      <c r="BP9" s="108">
        <v>0</v>
      </c>
      <c r="BQ9" s="108">
        <v>0</v>
      </c>
      <c r="BR9" s="108">
        <v>0</v>
      </c>
      <c r="BS9" s="108">
        <v>0</v>
      </c>
      <c r="BT9" s="108">
        <v>0</v>
      </c>
      <c r="BU9" s="127">
        <v>0</v>
      </c>
      <c r="BV9" s="108">
        <v>20</v>
      </c>
      <c r="BW9" s="108">
        <v>5</v>
      </c>
      <c r="BX9" s="97">
        <v>218</v>
      </c>
      <c r="BY9" s="97">
        <v>117</v>
      </c>
      <c r="BZ9" s="97">
        <v>39</v>
      </c>
      <c r="CA9" s="128">
        <v>0.12569444444444444</v>
      </c>
      <c r="CB9" s="97"/>
    </row>
    <row r="10" spans="1:80" x14ac:dyDescent="0.2">
      <c r="A10" t="s">
        <v>681</v>
      </c>
      <c r="B10" s="112">
        <v>40</v>
      </c>
      <c r="C10" s="122">
        <v>0</v>
      </c>
      <c r="D10" s="122">
        <v>0</v>
      </c>
      <c r="E10" s="122">
        <v>0</v>
      </c>
      <c r="F10" s="122">
        <v>1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3">
        <v>1</v>
      </c>
      <c r="O10" s="122">
        <v>0</v>
      </c>
      <c r="P10" s="122">
        <v>16</v>
      </c>
      <c r="Q10" s="122">
        <v>2</v>
      </c>
      <c r="R10" s="122">
        <v>0</v>
      </c>
      <c r="S10" s="122">
        <v>0</v>
      </c>
      <c r="T10" s="122">
        <v>0</v>
      </c>
      <c r="U10" s="122">
        <v>0</v>
      </c>
      <c r="V10" s="122">
        <v>0</v>
      </c>
      <c r="W10" s="122">
        <v>0</v>
      </c>
      <c r="X10" s="122">
        <v>0</v>
      </c>
      <c r="Y10" s="122">
        <v>0</v>
      </c>
      <c r="Z10" s="122">
        <v>0</v>
      </c>
      <c r="AA10" s="122">
        <v>0</v>
      </c>
      <c r="AB10" s="122">
        <v>0</v>
      </c>
      <c r="AC10" s="122">
        <v>0</v>
      </c>
      <c r="AD10" s="122">
        <v>0</v>
      </c>
      <c r="AE10" s="122">
        <v>0</v>
      </c>
      <c r="AF10" s="122">
        <v>0</v>
      </c>
      <c r="AG10" s="123">
        <v>0</v>
      </c>
      <c r="AH10" s="122">
        <v>0</v>
      </c>
      <c r="AI10" s="122">
        <v>0</v>
      </c>
      <c r="AJ10" s="122">
        <v>0</v>
      </c>
      <c r="AK10" s="122">
        <v>0</v>
      </c>
      <c r="AL10" s="122">
        <v>0</v>
      </c>
      <c r="AM10" s="122">
        <v>5</v>
      </c>
      <c r="AN10" s="122">
        <v>0</v>
      </c>
      <c r="AO10" s="122">
        <v>5</v>
      </c>
      <c r="AP10" s="123">
        <v>10</v>
      </c>
      <c r="AQ10" s="122">
        <v>2</v>
      </c>
      <c r="AR10" s="122">
        <v>0</v>
      </c>
      <c r="AS10" s="123">
        <v>2</v>
      </c>
      <c r="AT10" s="122">
        <v>0</v>
      </c>
      <c r="AU10" s="122">
        <v>0</v>
      </c>
      <c r="AV10" s="122"/>
      <c r="AW10" s="122">
        <v>0</v>
      </c>
      <c r="AX10" s="122">
        <v>0</v>
      </c>
      <c r="AY10" s="122">
        <v>0</v>
      </c>
      <c r="AZ10" s="122">
        <v>0</v>
      </c>
      <c r="BA10" s="122">
        <v>0</v>
      </c>
      <c r="BB10" s="122">
        <v>0</v>
      </c>
      <c r="BC10" s="122">
        <v>13</v>
      </c>
      <c r="BD10" s="122">
        <v>2</v>
      </c>
      <c r="BE10" s="122"/>
      <c r="BF10" s="122">
        <v>1</v>
      </c>
      <c r="BG10" s="122">
        <v>0</v>
      </c>
      <c r="BH10" s="122">
        <v>0</v>
      </c>
      <c r="BI10" s="122">
        <v>0</v>
      </c>
      <c r="BJ10" s="122">
        <v>0</v>
      </c>
      <c r="BK10" s="122">
        <v>0</v>
      </c>
      <c r="BL10" s="122">
        <v>0</v>
      </c>
      <c r="BM10" s="122">
        <v>0</v>
      </c>
      <c r="BN10" s="122">
        <v>0</v>
      </c>
      <c r="BO10" s="122">
        <v>60</v>
      </c>
      <c r="BP10" s="122">
        <v>0</v>
      </c>
      <c r="BQ10" s="122">
        <v>0</v>
      </c>
      <c r="BR10" s="122">
        <v>0</v>
      </c>
      <c r="BS10" s="122">
        <v>0</v>
      </c>
      <c r="BT10" s="122">
        <v>0</v>
      </c>
      <c r="BU10" s="124">
        <v>0</v>
      </c>
      <c r="BV10" s="122">
        <v>19</v>
      </c>
      <c r="BW10" s="122">
        <v>8</v>
      </c>
      <c r="BX10" s="97">
        <v>134</v>
      </c>
      <c r="BY10" s="97">
        <v>31</v>
      </c>
      <c r="BZ10" s="97">
        <v>43</v>
      </c>
      <c r="CA10" s="97" t="s">
        <v>669</v>
      </c>
      <c r="CB10" s="97"/>
    </row>
    <row r="11" spans="1:80" x14ac:dyDescent="0.2">
      <c r="A11" t="s">
        <v>682</v>
      </c>
      <c r="B11" s="112">
        <v>45</v>
      </c>
      <c r="C11" s="108">
        <v>0</v>
      </c>
      <c r="D11" s="108">
        <v>0</v>
      </c>
      <c r="E11" s="108">
        <v>0</v>
      </c>
      <c r="F11" s="108">
        <v>8</v>
      </c>
      <c r="G11" s="108">
        <v>0</v>
      </c>
      <c r="H11" s="108">
        <v>0</v>
      </c>
      <c r="I11" s="108">
        <v>0</v>
      </c>
      <c r="J11" s="108">
        <v>1</v>
      </c>
      <c r="K11" s="108">
        <v>1</v>
      </c>
      <c r="L11" s="108">
        <v>0</v>
      </c>
      <c r="M11" s="108">
        <v>0</v>
      </c>
      <c r="N11" s="123">
        <v>10</v>
      </c>
      <c r="O11" s="108">
        <v>0</v>
      </c>
      <c r="P11" s="108">
        <v>21</v>
      </c>
      <c r="Q11" s="108">
        <v>0</v>
      </c>
      <c r="R11" s="108">
        <v>0</v>
      </c>
      <c r="S11" s="108">
        <v>0</v>
      </c>
      <c r="T11" s="108">
        <v>0</v>
      </c>
      <c r="U11" s="108">
        <v>2</v>
      </c>
      <c r="V11" s="108">
        <v>0</v>
      </c>
      <c r="W11" s="108">
        <v>0</v>
      </c>
      <c r="X11" s="108">
        <v>0</v>
      </c>
      <c r="Y11" s="108">
        <v>12</v>
      </c>
      <c r="Z11" s="108">
        <v>0</v>
      </c>
      <c r="AA11" s="108">
        <v>0</v>
      </c>
      <c r="AB11" s="108">
        <v>0</v>
      </c>
      <c r="AC11" s="108">
        <v>0</v>
      </c>
      <c r="AD11" s="108">
        <v>0</v>
      </c>
      <c r="AE11" s="108">
        <v>0</v>
      </c>
      <c r="AF11" s="108">
        <v>0</v>
      </c>
      <c r="AG11" s="123">
        <v>0</v>
      </c>
      <c r="AH11" s="108">
        <v>0</v>
      </c>
      <c r="AI11" s="108">
        <v>0</v>
      </c>
      <c r="AJ11" s="108">
        <v>0</v>
      </c>
      <c r="AK11" s="108">
        <v>1</v>
      </c>
      <c r="AL11" s="108">
        <v>0</v>
      </c>
      <c r="AM11" s="108">
        <v>8</v>
      </c>
      <c r="AN11" s="108">
        <v>0</v>
      </c>
      <c r="AO11" s="108">
        <v>13</v>
      </c>
      <c r="AP11" s="123">
        <v>22</v>
      </c>
      <c r="AQ11" s="108">
        <v>1</v>
      </c>
      <c r="AR11" s="108">
        <v>0</v>
      </c>
      <c r="AS11" s="123">
        <v>1</v>
      </c>
      <c r="AT11" s="108">
        <v>0</v>
      </c>
      <c r="AU11" s="108">
        <v>0</v>
      </c>
      <c r="AV11" s="108"/>
      <c r="AW11" s="108">
        <v>0</v>
      </c>
      <c r="AX11" s="108">
        <v>0</v>
      </c>
      <c r="AY11" s="108">
        <v>0</v>
      </c>
      <c r="AZ11" s="108">
        <v>0</v>
      </c>
      <c r="BA11" s="108">
        <v>0</v>
      </c>
      <c r="BB11" s="108">
        <v>0</v>
      </c>
      <c r="BC11" s="108">
        <v>10</v>
      </c>
      <c r="BD11" s="108">
        <v>4</v>
      </c>
      <c r="BE11" s="108"/>
      <c r="BF11" s="108">
        <v>0</v>
      </c>
      <c r="BG11" s="108">
        <v>0</v>
      </c>
      <c r="BH11" s="108">
        <v>0</v>
      </c>
      <c r="BI11" s="108">
        <v>0</v>
      </c>
      <c r="BJ11" s="108">
        <v>0</v>
      </c>
      <c r="BK11" s="108">
        <v>0</v>
      </c>
      <c r="BL11" s="108">
        <v>0</v>
      </c>
      <c r="BM11" s="108">
        <v>0</v>
      </c>
      <c r="BN11" s="108">
        <v>0</v>
      </c>
      <c r="BO11" s="108">
        <v>74</v>
      </c>
      <c r="BP11" s="108">
        <v>0</v>
      </c>
      <c r="BQ11" s="108">
        <v>0</v>
      </c>
      <c r="BR11" s="108">
        <v>0</v>
      </c>
      <c r="BS11" s="108">
        <v>0</v>
      </c>
      <c r="BT11" s="108">
        <v>0</v>
      </c>
      <c r="BU11" s="127">
        <v>0</v>
      </c>
      <c r="BV11" s="108">
        <v>3</v>
      </c>
      <c r="BW11" s="108">
        <v>3</v>
      </c>
      <c r="BX11" s="97">
        <v>162</v>
      </c>
      <c r="BY11" s="97">
        <v>68</v>
      </c>
      <c r="BZ11" s="97">
        <v>20</v>
      </c>
      <c r="CA11" s="97" t="s">
        <v>670</v>
      </c>
      <c r="CB11" s="97"/>
    </row>
    <row r="12" spans="1:80" x14ac:dyDescent="0.2">
      <c r="A12" t="s">
        <v>683</v>
      </c>
      <c r="B12" s="112">
        <v>50</v>
      </c>
      <c r="C12" s="122">
        <v>0</v>
      </c>
      <c r="D12" s="122">
        <v>0</v>
      </c>
      <c r="E12" s="122">
        <v>1</v>
      </c>
      <c r="F12" s="122">
        <v>2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3">
        <v>3</v>
      </c>
      <c r="O12" s="122">
        <v>0</v>
      </c>
      <c r="P12" s="122">
        <v>17</v>
      </c>
      <c r="Q12" s="122">
        <v>2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14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3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8</v>
      </c>
      <c r="AN12" s="122">
        <v>0</v>
      </c>
      <c r="AO12" s="122">
        <v>8</v>
      </c>
      <c r="AP12" s="123">
        <v>16</v>
      </c>
      <c r="AQ12" s="122">
        <v>30</v>
      </c>
      <c r="AR12" s="122">
        <v>0</v>
      </c>
      <c r="AS12" s="123">
        <v>30</v>
      </c>
      <c r="AT12" s="122">
        <v>0</v>
      </c>
      <c r="AU12" s="122">
        <v>0</v>
      </c>
      <c r="AV12" s="122"/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4</v>
      </c>
      <c r="BD12" s="122">
        <v>3</v>
      </c>
      <c r="BE12" s="122"/>
      <c r="BF12" s="122">
        <v>0</v>
      </c>
      <c r="BG12" s="122">
        <v>0</v>
      </c>
      <c r="BH12" s="122">
        <v>0</v>
      </c>
      <c r="BI12" s="122">
        <v>1</v>
      </c>
      <c r="BJ12" s="122">
        <v>0</v>
      </c>
      <c r="BK12" s="122">
        <v>0</v>
      </c>
      <c r="BL12" s="122">
        <v>0</v>
      </c>
      <c r="BM12" s="122">
        <v>0</v>
      </c>
      <c r="BN12" s="122">
        <v>0</v>
      </c>
      <c r="BO12" s="122">
        <v>110</v>
      </c>
      <c r="BP12" s="122">
        <v>0</v>
      </c>
      <c r="BQ12" s="122">
        <v>0</v>
      </c>
      <c r="BR12" s="122">
        <v>0</v>
      </c>
      <c r="BS12" s="122">
        <v>0</v>
      </c>
      <c r="BT12" s="122">
        <v>0</v>
      </c>
      <c r="BU12" s="124">
        <v>0</v>
      </c>
      <c r="BV12" s="122">
        <v>28</v>
      </c>
      <c r="BW12" s="122">
        <v>7</v>
      </c>
      <c r="BX12" s="97">
        <v>235</v>
      </c>
      <c r="BY12" s="97">
        <v>82</v>
      </c>
      <c r="BZ12" s="97">
        <v>43</v>
      </c>
      <c r="CA12" s="97" t="s">
        <v>671</v>
      </c>
      <c r="CB12" s="97"/>
    </row>
    <row r="13" spans="1:80" x14ac:dyDescent="0.2">
      <c r="A13" t="s">
        <v>684</v>
      </c>
      <c r="B13" s="112">
        <v>55</v>
      </c>
      <c r="C13" s="108">
        <v>1</v>
      </c>
      <c r="D13" s="108">
        <v>0</v>
      </c>
      <c r="E13" s="108">
        <v>1</v>
      </c>
      <c r="F13" s="108">
        <v>43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23">
        <v>44</v>
      </c>
      <c r="O13" s="108">
        <v>0</v>
      </c>
      <c r="P13" s="108">
        <v>37</v>
      </c>
      <c r="Q13" s="108">
        <v>4</v>
      </c>
      <c r="R13" s="108">
        <v>0</v>
      </c>
      <c r="S13" s="108">
        <v>0</v>
      </c>
      <c r="T13" s="108">
        <v>0</v>
      </c>
      <c r="U13" s="108">
        <v>2</v>
      </c>
      <c r="V13" s="108">
        <v>0</v>
      </c>
      <c r="W13" s="108">
        <v>0</v>
      </c>
      <c r="X13" s="108">
        <v>0</v>
      </c>
      <c r="Y13" s="108">
        <v>16</v>
      </c>
      <c r="Z13" s="108">
        <v>0</v>
      </c>
      <c r="AA13" s="108">
        <v>0</v>
      </c>
      <c r="AB13" s="108">
        <v>0</v>
      </c>
      <c r="AC13" s="108">
        <v>0</v>
      </c>
      <c r="AD13" s="108">
        <v>0</v>
      </c>
      <c r="AE13" s="108">
        <v>0</v>
      </c>
      <c r="AF13" s="108">
        <v>0</v>
      </c>
      <c r="AG13" s="123">
        <v>0</v>
      </c>
      <c r="AH13" s="108">
        <v>0</v>
      </c>
      <c r="AI13" s="108">
        <v>0</v>
      </c>
      <c r="AJ13" s="108">
        <v>0</v>
      </c>
      <c r="AK13" s="108">
        <v>0</v>
      </c>
      <c r="AL13" s="108">
        <v>0</v>
      </c>
      <c r="AM13" s="108">
        <v>3</v>
      </c>
      <c r="AN13" s="108">
        <v>0</v>
      </c>
      <c r="AO13" s="108">
        <v>8</v>
      </c>
      <c r="AP13" s="123">
        <v>11</v>
      </c>
      <c r="AQ13" s="108">
        <v>0</v>
      </c>
      <c r="AR13" s="108">
        <v>0</v>
      </c>
      <c r="AS13" s="123">
        <v>0</v>
      </c>
      <c r="AT13" s="108">
        <v>0</v>
      </c>
      <c r="AU13" s="108">
        <v>0</v>
      </c>
      <c r="AV13" s="108"/>
      <c r="AW13" s="108">
        <v>0</v>
      </c>
      <c r="AX13" s="108">
        <v>0</v>
      </c>
      <c r="AY13" s="108">
        <v>0</v>
      </c>
      <c r="AZ13" s="108">
        <v>0</v>
      </c>
      <c r="BA13" s="108">
        <v>0</v>
      </c>
      <c r="BB13" s="108">
        <v>0</v>
      </c>
      <c r="BC13" s="108">
        <v>4</v>
      </c>
      <c r="BD13" s="108">
        <v>0</v>
      </c>
      <c r="BE13" s="108"/>
      <c r="BF13" s="108">
        <v>0</v>
      </c>
      <c r="BG13" s="108">
        <v>0</v>
      </c>
      <c r="BH13" s="108">
        <v>0</v>
      </c>
      <c r="BI13" s="108">
        <v>0</v>
      </c>
      <c r="BJ13" s="108">
        <v>0</v>
      </c>
      <c r="BK13" s="108">
        <v>0</v>
      </c>
      <c r="BL13" s="108">
        <v>0</v>
      </c>
      <c r="BM13" s="108">
        <v>0</v>
      </c>
      <c r="BN13" s="108">
        <v>0</v>
      </c>
      <c r="BO13" s="108">
        <v>62</v>
      </c>
      <c r="BP13" s="108">
        <v>0</v>
      </c>
      <c r="BQ13" s="108">
        <v>0</v>
      </c>
      <c r="BR13" s="108">
        <v>0</v>
      </c>
      <c r="BS13" s="108">
        <v>0</v>
      </c>
      <c r="BT13" s="108">
        <v>0</v>
      </c>
      <c r="BU13" s="127">
        <v>0</v>
      </c>
      <c r="BV13" s="108">
        <v>11</v>
      </c>
      <c r="BW13" s="108">
        <v>29</v>
      </c>
      <c r="BX13" s="97">
        <v>221</v>
      </c>
      <c r="BY13" s="97">
        <v>115</v>
      </c>
      <c r="BZ13" s="97">
        <v>44</v>
      </c>
      <c r="CA13" s="97" t="s">
        <v>672</v>
      </c>
      <c r="CB13" s="97"/>
    </row>
    <row r="14" spans="1:80" x14ac:dyDescent="0.2">
      <c r="A14" t="s">
        <v>685</v>
      </c>
      <c r="B14" s="112">
        <v>60</v>
      </c>
      <c r="C14" s="122">
        <v>0</v>
      </c>
      <c r="D14" s="122">
        <v>0</v>
      </c>
      <c r="E14" s="122">
        <v>0</v>
      </c>
      <c r="F14" s="122">
        <v>1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3">
        <v>1</v>
      </c>
      <c r="O14" s="122">
        <v>0</v>
      </c>
      <c r="P14" s="122">
        <v>26</v>
      </c>
      <c r="Q14" s="122">
        <v>3</v>
      </c>
      <c r="R14" s="122">
        <v>0</v>
      </c>
      <c r="S14" s="122">
        <v>0</v>
      </c>
      <c r="T14" s="122">
        <v>0</v>
      </c>
      <c r="U14" s="122">
        <v>0</v>
      </c>
      <c r="V14" s="122">
        <v>0</v>
      </c>
      <c r="W14" s="122">
        <v>0</v>
      </c>
      <c r="X14" s="122">
        <v>0</v>
      </c>
      <c r="Y14" s="122">
        <v>10</v>
      </c>
      <c r="Z14" s="122">
        <v>0</v>
      </c>
      <c r="AA14" s="122">
        <v>0</v>
      </c>
      <c r="AB14" s="122">
        <v>0</v>
      </c>
      <c r="AC14" s="122">
        <v>0</v>
      </c>
      <c r="AD14" s="122">
        <v>0</v>
      </c>
      <c r="AE14" s="122">
        <v>0</v>
      </c>
      <c r="AF14" s="122">
        <v>0</v>
      </c>
      <c r="AG14" s="123">
        <v>0</v>
      </c>
      <c r="AH14" s="122">
        <v>0</v>
      </c>
      <c r="AI14" s="122">
        <v>0</v>
      </c>
      <c r="AJ14" s="122">
        <v>0</v>
      </c>
      <c r="AK14" s="122">
        <v>0</v>
      </c>
      <c r="AL14" s="122">
        <v>0</v>
      </c>
      <c r="AM14" s="122">
        <v>7</v>
      </c>
      <c r="AN14" s="122">
        <v>0</v>
      </c>
      <c r="AO14" s="122">
        <v>5</v>
      </c>
      <c r="AP14" s="123">
        <v>12</v>
      </c>
      <c r="AQ14" s="122">
        <v>0</v>
      </c>
      <c r="AR14" s="122">
        <v>0</v>
      </c>
      <c r="AS14" s="123">
        <v>0</v>
      </c>
      <c r="AT14" s="122">
        <v>0</v>
      </c>
      <c r="AU14" s="122">
        <v>0</v>
      </c>
      <c r="AV14" s="122"/>
      <c r="AW14" s="122">
        <v>0</v>
      </c>
      <c r="AX14" s="122">
        <v>0</v>
      </c>
      <c r="AY14" s="122">
        <v>0</v>
      </c>
      <c r="AZ14" s="122">
        <v>0</v>
      </c>
      <c r="BA14" s="122">
        <v>0</v>
      </c>
      <c r="BB14" s="122">
        <v>0</v>
      </c>
      <c r="BC14" s="122">
        <v>0</v>
      </c>
      <c r="BD14" s="122">
        <v>0</v>
      </c>
      <c r="BE14" s="122"/>
      <c r="BF14" s="122">
        <v>0</v>
      </c>
      <c r="BG14" s="122">
        <v>0</v>
      </c>
      <c r="BH14" s="122">
        <v>0</v>
      </c>
      <c r="BI14" s="122">
        <v>0</v>
      </c>
      <c r="BJ14" s="122">
        <v>0</v>
      </c>
      <c r="BK14" s="122">
        <v>0</v>
      </c>
      <c r="BL14" s="122">
        <v>0</v>
      </c>
      <c r="BM14" s="122">
        <v>0</v>
      </c>
      <c r="BN14" s="122">
        <v>0</v>
      </c>
      <c r="BO14" s="122">
        <v>76</v>
      </c>
      <c r="BP14" s="122">
        <v>0</v>
      </c>
      <c r="BQ14" s="122">
        <v>0</v>
      </c>
      <c r="BR14" s="122">
        <v>0</v>
      </c>
      <c r="BS14" s="122">
        <v>0</v>
      </c>
      <c r="BT14" s="122">
        <v>0</v>
      </c>
      <c r="BU14" s="124">
        <v>0</v>
      </c>
      <c r="BV14" s="122">
        <v>4</v>
      </c>
      <c r="BW14" s="122">
        <v>9</v>
      </c>
      <c r="BX14" s="97">
        <v>141</v>
      </c>
      <c r="BY14" s="97">
        <v>52</v>
      </c>
      <c r="BZ14" s="97">
        <v>13</v>
      </c>
      <c r="CA14" s="128">
        <v>0.1673611111111111</v>
      </c>
      <c r="CB14" s="97"/>
    </row>
    <row r="15" spans="1:80" x14ac:dyDescent="0.2"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129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129"/>
      <c r="AH15" s="97"/>
      <c r="AI15" s="97"/>
      <c r="AJ15" s="97"/>
      <c r="AK15" s="97"/>
      <c r="AL15" s="97"/>
      <c r="AM15" s="97"/>
      <c r="AN15" s="97"/>
      <c r="AO15" s="97"/>
      <c r="AP15" s="129"/>
      <c r="AQ15" s="97"/>
      <c r="AR15" s="97"/>
      <c r="AS15" s="129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>
        <v>0</v>
      </c>
      <c r="BZ15" s="97">
        <v>0</v>
      </c>
      <c r="CA15" s="97"/>
      <c r="CB15" s="97"/>
    </row>
    <row r="16" spans="1:80" x14ac:dyDescent="0.2">
      <c r="B16" s="97"/>
      <c r="C16" s="97">
        <v>56</v>
      </c>
      <c r="D16" s="97">
        <v>0</v>
      </c>
      <c r="E16" s="97">
        <v>19</v>
      </c>
      <c r="F16" s="97">
        <v>359</v>
      </c>
      <c r="G16" s="97">
        <v>17</v>
      </c>
      <c r="H16" s="97">
        <v>0</v>
      </c>
      <c r="I16" s="97">
        <v>0</v>
      </c>
      <c r="J16" s="97">
        <v>1</v>
      </c>
      <c r="K16" s="97">
        <v>8</v>
      </c>
      <c r="L16" s="97">
        <v>3</v>
      </c>
      <c r="M16" s="97">
        <v>5</v>
      </c>
      <c r="N16" s="129">
        <v>412</v>
      </c>
      <c r="O16" s="97">
        <v>3</v>
      </c>
      <c r="P16" s="97">
        <v>717</v>
      </c>
      <c r="Q16" s="97">
        <v>171</v>
      </c>
      <c r="R16" s="97">
        <v>0</v>
      </c>
      <c r="S16" s="97">
        <v>0</v>
      </c>
      <c r="T16" s="97">
        <v>0</v>
      </c>
      <c r="U16" s="97">
        <v>11</v>
      </c>
      <c r="V16" s="97">
        <v>0</v>
      </c>
      <c r="W16" s="97">
        <v>0</v>
      </c>
      <c r="X16" s="97">
        <v>0</v>
      </c>
      <c r="Y16" s="97">
        <v>261</v>
      </c>
      <c r="Z16" s="97">
        <v>0</v>
      </c>
      <c r="AA16" s="97">
        <v>0</v>
      </c>
      <c r="AB16" s="97">
        <v>9</v>
      </c>
      <c r="AC16" s="97">
        <v>0</v>
      </c>
      <c r="AD16" s="97">
        <v>0</v>
      </c>
      <c r="AE16" s="97">
        <v>0</v>
      </c>
      <c r="AF16" s="97">
        <v>1</v>
      </c>
      <c r="AG16" s="129">
        <v>10</v>
      </c>
      <c r="AH16" s="97">
        <v>0</v>
      </c>
      <c r="AI16" s="97">
        <v>28</v>
      </c>
      <c r="AJ16" s="97">
        <v>0</v>
      </c>
      <c r="AK16" s="97">
        <v>7</v>
      </c>
      <c r="AL16" s="97">
        <v>0</v>
      </c>
      <c r="AM16" s="97">
        <v>185</v>
      </c>
      <c r="AN16" s="97">
        <v>0</v>
      </c>
      <c r="AO16" s="97">
        <v>201</v>
      </c>
      <c r="AP16" s="129">
        <v>393</v>
      </c>
      <c r="AQ16" s="97">
        <v>403</v>
      </c>
      <c r="AR16" s="97">
        <v>0</v>
      </c>
      <c r="AS16" s="129">
        <v>403</v>
      </c>
      <c r="AT16" s="97">
        <v>1</v>
      </c>
      <c r="AU16" s="97">
        <v>0</v>
      </c>
      <c r="AV16" s="97">
        <v>84</v>
      </c>
      <c r="AW16" s="97">
        <v>5</v>
      </c>
      <c r="AX16" s="97">
        <v>12</v>
      </c>
      <c r="AY16" s="97">
        <v>3</v>
      </c>
      <c r="AZ16" s="97">
        <v>1</v>
      </c>
      <c r="BA16" s="97">
        <v>5</v>
      </c>
      <c r="BB16" s="97">
        <v>0</v>
      </c>
      <c r="BC16" s="97">
        <v>163</v>
      </c>
      <c r="BD16" s="97">
        <v>66</v>
      </c>
      <c r="BE16" s="97">
        <v>12</v>
      </c>
      <c r="BF16" s="97">
        <v>2</v>
      </c>
      <c r="BG16" s="97">
        <v>0</v>
      </c>
      <c r="BH16" s="97">
        <v>0</v>
      </c>
      <c r="BI16" s="97">
        <v>2</v>
      </c>
      <c r="BJ16" s="97">
        <v>2</v>
      </c>
      <c r="BK16" s="97">
        <v>0</v>
      </c>
      <c r="BL16" s="97">
        <v>0</v>
      </c>
      <c r="BM16" s="97">
        <v>7</v>
      </c>
      <c r="BN16" s="97">
        <v>0</v>
      </c>
      <c r="BO16" s="97">
        <v>1055</v>
      </c>
      <c r="BP16" s="97">
        <v>1</v>
      </c>
      <c r="BQ16" s="97">
        <v>0</v>
      </c>
      <c r="BR16" s="97">
        <v>0</v>
      </c>
      <c r="BS16" s="97">
        <v>7</v>
      </c>
      <c r="BT16" s="97">
        <v>0</v>
      </c>
      <c r="BU16" s="97">
        <v>0</v>
      </c>
      <c r="BV16" s="97">
        <v>131</v>
      </c>
      <c r="BW16" s="97">
        <v>189</v>
      </c>
      <c r="BX16" s="97">
        <v>4213</v>
      </c>
      <c r="BY16" s="97">
        <v>2466</v>
      </c>
      <c r="BZ16" s="97">
        <v>608</v>
      </c>
      <c r="CA16" s="97"/>
      <c r="CB16" s="9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workbookViewId="0">
      <selection activeCell="F7" sqref="F7"/>
    </sheetView>
  </sheetViews>
  <sheetFormatPr baseColWidth="10" defaultRowHeight="16" x14ac:dyDescent="0.2"/>
  <cols>
    <col min="5" max="5" width="12" bestFit="1" customWidth="1"/>
    <col min="6" max="6" width="17" bestFit="1" customWidth="1"/>
    <col min="7" max="7" width="34.83203125" bestFit="1" customWidth="1"/>
    <col min="8" max="8" width="8.5" bestFit="1" customWidth="1"/>
    <col min="9" max="9" width="7.33203125" bestFit="1" customWidth="1"/>
    <col min="10" max="10" width="10.6640625" bestFit="1" customWidth="1"/>
    <col min="11" max="11" width="13.33203125" bestFit="1" customWidth="1"/>
    <col min="12" max="12" width="15.5" bestFit="1" customWidth="1"/>
    <col min="13" max="13" width="9.5" bestFit="1" customWidth="1"/>
    <col min="14" max="14" width="8.83203125" bestFit="1" customWidth="1"/>
    <col min="15" max="15" width="15.1640625" bestFit="1" customWidth="1"/>
    <col min="16" max="16" width="10" bestFit="1" customWidth="1"/>
    <col min="17" max="17" width="7.6640625" bestFit="1" customWidth="1"/>
    <col min="18" max="18" width="11.6640625" bestFit="1" customWidth="1"/>
    <col min="19" max="19" width="11.5" bestFit="1" customWidth="1"/>
    <col min="20" max="20" width="21" bestFit="1" customWidth="1"/>
  </cols>
  <sheetData>
    <row r="1" spans="1:22" x14ac:dyDescent="0.2">
      <c r="C1" s="32" t="s">
        <v>229</v>
      </c>
      <c r="F1" s="33"/>
    </row>
    <row r="2" spans="1:22" x14ac:dyDescent="0.2">
      <c r="F2" s="33"/>
    </row>
    <row r="3" spans="1:22" x14ac:dyDescent="0.2">
      <c r="A3" s="32" t="s">
        <v>230</v>
      </c>
      <c r="B3" s="32" t="s">
        <v>0</v>
      </c>
      <c r="C3" s="32" t="s">
        <v>231</v>
      </c>
      <c r="D3" s="32" t="s">
        <v>232</v>
      </c>
      <c r="E3" s="32" t="s">
        <v>233</v>
      </c>
      <c r="F3" s="34" t="s">
        <v>234</v>
      </c>
      <c r="G3" s="32" t="s">
        <v>235</v>
      </c>
      <c r="H3" s="32" t="s">
        <v>236</v>
      </c>
      <c r="I3" s="32" t="s">
        <v>237</v>
      </c>
      <c r="J3" s="32" t="s">
        <v>238</v>
      </c>
      <c r="K3" s="32" t="s">
        <v>239</v>
      </c>
      <c r="L3" s="32" t="s">
        <v>240</v>
      </c>
      <c r="M3" s="32" t="s">
        <v>241</v>
      </c>
      <c r="N3" s="32" t="s">
        <v>242</v>
      </c>
      <c r="O3" s="32" t="s">
        <v>243</v>
      </c>
      <c r="P3" s="32" t="s">
        <v>244</v>
      </c>
      <c r="Q3" s="32" t="s">
        <v>245</v>
      </c>
      <c r="R3" s="32" t="s">
        <v>246</v>
      </c>
      <c r="S3" s="32" t="s">
        <v>247</v>
      </c>
      <c r="T3" s="32" t="s">
        <v>8</v>
      </c>
      <c r="U3" s="32"/>
      <c r="V3" s="32"/>
    </row>
    <row r="4" spans="1:22" x14ac:dyDescent="0.2">
      <c r="A4" s="35" t="s">
        <v>248</v>
      </c>
      <c r="B4" s="35" t="s">
        <v>9</v>
      </c>
      <c r="C4" s="35" t="s">
        <v>249</v>
      </c>
      <c r="D4" s="35">
        <v>20</v>
      </c>
      <c r="E4" s="36">
        <v>41828</v>
      </c>
      <c r="F4" s="37">
        <v>5</v>
      </c>
      <c r="G4" s="38" t="s">
        <v>250</v>
      </c>
      <c r="H4" s="39">
        <v>5</v>
      </c>
      <c r="I4" s="39"/>
      <c r="J4" s="39"/>
      <c r="K4" s="39" t="s">
        <v>251</v>
      </c>
      <c r="L4" s="35">
        <v>3.27</v>
      </c>
      <c r="M4" s="35">
        <v>5</v>
      </c>
      <c r="N4" s="35"/>
      <c r="O4" s="35"/>
      <c r="P4" s="35"/>
      <c r="Q4" s="35"/>
      <c r="R4" s="35"/>
      <c r="S4" s="36">
        <v>42376</v>
      </c>
      <c r="T4" s="35"/>
      <c r="U4" s="35"/>
      <c r="V4" s="35"/>
    </row>
    <row r="5" spans="1:22" x14ac:dyDescent="0.2">
      <c r="A5" s="35" t="s">
        <v>248</v>
      </c>
      <c r="B5" s="35" t="s">
        <v>9</v>
      </c>
      <c r="C5" s="35" t="s">
        <v>252</v>
      </c>
      <c r="D5" s="35">
        <v>30</v>
      </c>
      <c r="E5" s="36">
        <v>41830</v>
      </c>
      <c r="F5" s="37">
        <v>2</v>
      </c>
      <c r="G5" s="38" t="s">
        <v>250</v>
      </c>
      <c r="H5" s="39">
        <v>2</v>
      </c>
      <c r="I5" s="39"/>
      <c r="J5" s="39"/>
      <c r="K5" s="39" t="s">
        <v>253</v>
      </c>
      <c r="L5" s="35">
        <v>13.95</v>
      </c>
      <c r="M5" s="35">
        <v>2</v>
      </c>
      <c r="N5" s="35"/>
      <c r="O5" s="35"/>
      <c r="P5" s="35"/>
      <c r="Q5" s="35"/>
      <c r="R5" s="35"/>
      <c r="S5" s="36">
        <v>42376</v>
      </c>
      <c r="T5" s="35"/>
      <c r="U5" s="35"/>
      <c r="V5" s="35"/>
    </row>
    <row r="6" spans="1:22" x14ac:dyDescent="0.2">
      <c r="A6" s="35" t="s">
        <v>248</v>
      </c>
      <c r="B6" s="35" t="s">
        <v>9</v>
      </c>
      <c r="C6" s="35" t="s">
        <v>254</v>
      </c>
      <c r="D6" s="35">
        <v>60</v>
      </c>
      <c r="E6" s="36">
        <v>42180</v>
      </c>
      <c r="F6" s="37">
        <v>20</v>
      </c>
      <c r="G6" s="38" t="s">
        <v>250</v>
      </c>
      <c r="H6" s="39">
        <v>12</v>
      </c>
      <c r="I6" s="39"/>
      <c r="J6" s="39"/>
      <c r="K6" s="39" t="s">
        <v>255</v>
      </c>
      <c r="L6" s="35">
        <f>SUM(O6:R6)</f>
        <v>10.45</v>
      </c>
      <c r="M6" s="35">
        <v>11</v>
      </c>
      <c r="N6" s="35"/>
      <c r="O6" s="35">
        <v>0.48</v>
      </c>
      <c r="P6" s="35">
        <v>1.04</v>
      </c>
      <c r="Q6" s="35">
        <v>1.73</v>
      </c>
      <c r="R6" s="35">
        <v>7.2</v>
      </c>
      <c r="S6" s="36">
        <v>42377</v>
      </c>
      <c r="T6" s="35" t="s">
        <v>256</v>
      </c>
      <c r="U6" s="35"/>
      <c r="V6" s="35"/>
    </row>
    <row r="7" spans="1:22" x14ac:dyDescent="0.2">
      <c r="A7" s="35"/>
      <c r="B7" s="35"/>
      <c r="C7" s="35"/>
      <c r="D7" s="35"/>
      <c r="E7" s="35"/>
      <c r="F7" s="37"/>
      <c r="G7" s="40" t="s">
        <v>257</v>
      </c>
      <c r="H7" s="41">
        <v>2</v>
      </c>
      <c r="I7" s="41"/>
      <c r="J7" s="41"/>
      <c r="K7" s="41" t="s">
        <v>258</v>
      </c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x14ac:dyDescent="0.2">
      <c r="A8" s="35"/>
      <c r="B8" s="35"/>
      <c r="C8" s="35"/>
      <c r="D8" s="35"/>
      <c r="E8" s="35"/>
      <c r="F8" s="37"/>
      <c r="G8" s="35" t="s">
        <v>259</v>
      </c>
      <c r="H8" s="35"/>
      <c r="I8" s="35">
        <v>1</v>
      </c>
      <c r="J8" s="35"/>
      <c r="K8" s="35" t="s">
        <v>260</v>
      </c>
      <c r="L8" s="35"/>
      <c r="M8" s="35">
        <v>1</v>
      </c>
      <c r="N8" s="35"/>
      <c r="O8" s="35"/>
      <c r="P8" s="35"/>
      <c r="Q8" s="35"/>
      <c r="R8" s="35"/>
      <c r="S8" s="35"/>
      <c r="T8" s="35"/>
      <c r="U8" s="35"/>
      <c r="V8" s="35"/>
    </row>
    <row r="9" spans="1:22" x14ac:dyDescent="0.2">
      <c r="A9" s="35"/>
      <c r="B9" s="35"/>
      <c r="C9" s="35"/>
      <c r="D9" s="35"/>
      <c r="E9" s="35"/>
      <c r="F9" s="37"/>
      <c r="G9" s="42" t="s">
        <v>261</v>
      </c>
      <c r="H9" s="35"/>
      <c r="I9" s="35"/>
      <c r="J9" s="35">
        <v>3</v>
      </c>
      <c r="K9" s="35" t="s">
        <v>262</v>
      </c>
      <c r="L9" s="35"/>
      <c r="M9" s="35">
        <v>3</v>
      </c>
      <c r="N9" s="35"/>
      <c r="O9" s="35"/>
      <c r="P9" s="35"/>
      <c r="Q9" s="35"/>
      <c r="R9" s="35"/>
      <c r="S9" s="35"/>
      <c r="T9" s="35"/>
      <c r="U9" s="35"/>
      <c r="V9" s="35"/>
    </row>
    <row r="10" spans="1:22" x14ac:dyDescent="0.2">
      <c r="A10" s="35"/>
      <c r="B10" s="35"/>
      <c r="C10" s="35"/>
      <c r="D10" s="35"/>
      <c r="E10" s="35"/>
      <c r="F10" s="37"/>
      <c r="G10" s="43" t="s">
        <v>263</v>
      </c>
      <c r="H10" s="35"/>
      <c r="I10" s="35"/>
      <c r="J10" s="35">
        <v>2</v>
      </c>
      <c r="K10" s="35" t="s">
        <v>258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x14ac:dyDescent="0.2">
      <c r="A11" s="35" t="s">
        <v>248</v>
      </c>
      <c r="B11" s="35" t="s">
        <v>9</v>
      </c>
      <c r="C11" s="35" t="s">
        <v>264</v>
      </c>
      <c r="D11" s="35">
        <v>50</v>
      </c>
      <c r="E11" s="36">
        <v>41835</v>
      </c>
      <c r="F11" s="37">
        <v>11</v>
      </c>
      <c r="G11" s="38" t="s">
        <v>250</v>
      </c>
      <c r="H11" s="39">
        <v>8</v>
      </c>
      <c r="I11" s="39"/>
      <c r="J11" s="39"/>
      <c r="K11" s="39" t="s">
        <v>265</v>
      </c>
      <c r="L11" s="35">
        <f>SUM(O11:R11)</f>
        <v>13.809999999999999</v>
      </c>
      <c r="M11" s="35">
        <v>10</v>
      </c>
      <c r="N11" s="35"/>
      <c r="O11" s="35">
        <v>0</v>
      </c>
      <c r="P11" s="35">
        <v>0.12</v>
      </c>
      <c r="Q11" s="35">
        <v>1.74</v>
      </c>
      <c r="R11" s="35">
        <v>11.95</v>
      </c>
      <c r="S11" s="36">
        <v>42380</v>
      </c>
      <c r="T11" s="35"/>
      <c r="U11" s="35"/>
      <c r="V11" s="35"/>
    </row>
    <row r="12" spans="1:22" x14ac:dyDescent="0.2">
      <c r="A12" s="35"/>
      <c r="B12" s="35"/>
      <c r="C12" s="35"/>
      <c r="D12" s="35"/>
      <c r="E12" s="35"/>
      <c r="F12" s="37"/>
      <c r="G12" s="43" t="s">
        <v>266</v>
      </c>
      <c r="H12" s="35"/>
      <c r="I12" s="35"/>
      <c r="J12" s="35">
        <v>1</v>
      </c>
      <c r="K12" s="35" t="s">
        <v>260</v>
      </c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x14ac:dyDescent="0.2">
      <c r="A13" s="35"/>
      <c r="B13" s="35"/>
      <c r="C13" s="35"/>
      <c r="D13" s="35"/>
      <c r="E13" s="35"/>
      <c r="F13" s="37"/>
      <c r="G13" s="40" t="s">
        <v>257</v>
      </c>
      <c r="H13" s="41">
        <v>1</v>
      </c>
      <c r="I13" s="41"/>
      <c r="J13" s="41"/>
      <c r="K13" s="41" t="s">
        <v>267</v>
      </c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22" x14ac:dyDescent="0.2">
      <c r="A14" s="35"/>
      <c r="B14" s="35"/>
      <c r="C14" s="35"/>
      <c r="D14" s="35"/>
      <c r="E14" s="35"/>
      <c r="F14" s="37"/>
      <c r="G14" s="44" t="s">
        <v>268</v>
      </c>
      <c r="H14" s="45">
        <v>1</v>
      </c>
      <c r="I14" s="45"/>
      <c r="J14" s="45"/>
      <c r="K14" s="45" t="s">
        <v>269</v>
      </c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22" x14ac:dyDescent="0.2">
      <c r="A15" s="35" t="s">
        <v>248</v>
      </c>
      <c r="B15" s="35" t="s">
        <v>9</v>
      </c>
      <c r="C15" s="35" t="s">
        <v>270</v>
      </c>
      <c r="D15" s="35" t="s">
        <v>271</v>
      </c>
      <c r="E15" s="36">
        <v>41830</v>
      </c>
      <c r="F15" s="37">
        <v>7</v>
      </c>
      <c r="G15" s="38" t="s">
        <v>250</v>
      </c>
      <c r="H15" s="39">
        <v>7</v>
      </c>
      <c r="I15" s="39"/>
      <c r="J15" s="39"/>
      <c r="K15" s="39" t="s">
        <v>272</v>
      </c>
      <c r="L15" s="35">
        <f>SUM(O15:R15)</f>
        <v>5.21</v>
      </c>
      <c r="M15" s="35">
        <v>7</v>
      </c>
      <c r="N15" s="35"/>
      <c r="O15" s="35">
        <v>0</v>
      </c>
      <c r="P15" s="35">
        <v>0</v>
      </c>
      <c r="Q15" s="35">
        <v>1.9</v>
      </c>
      <c r="R15" s="35">
        <v>3.31</v>
      </c>
      <c r="S15" s="36">
        <v>42380</v>
      </c>
      <c r="T15" s="35"/>
      <c r="U15" s="35"/>
      <c r="V15" s="35"/>
    </row>
    <row r="16" spans="1:22" x14ac:dyDescent="0.2">
      <c r="A16" s="35" t="s">
        <v>248</v>
      </c>
      <c r="B16" s="35" t="s">
        <v>273</v>
      </c>
      <c r="C16" s="35"/>
      <c r="D16" s="35" t="s">
        <v>274</v>
      </c>
      <c r="E16" s="36">
        <v>42187</v>
      </c>
      <c r="F16" s="37">
        <v>2</v>
      </c>
      <c r="G16" s="38" t="s">
        <v>250</v>
      </c>
      <c r="H16" s="39">
        <v>2</v>
      </c>
      <c r="I16" s="39"/>
      <c r="J16" s="39"/>
      <c r="K16" s="39" t="s">
        <v>275</v>
      </c>
      <c r="L16" s="35">
        <f>SUM(O16:R16)</f>
        <v>67.98</v>
      </c>
      <c r="M16" s="35">
        <v>2</v>
      </c>
      <c r="N16" s="35"/>
      <c r="O16" s="35">
        <v>0</v>
      </c>
      <c r="P16" s="35">
        <v>0</v>
      </c>
      <c r="Q16" s="35">
        <v>0</v>
      </c>
      <c r="R16" s="35">
        <v>67.98</v>
      </c>
      <c r="S16" s="36">
        <v>42380</v>
      </c>
      <c r="T16" s="35" t="s">
        <v>276</v>
      </c>
      <c r="U16" s="35"/>
      <c r="V16" s="35"/>
    </row>
    <row r="17" spans="1:22" x14ac:dyDescent="0.2">
      <c r="A17" s="35" t="s">
        <v>248</v>
      </c>
      <c r="B17" s="35" t="s">
        <v>9</v>
      </c>
      <c r="C17" s="35" t="s">
        <v>264</v>
      </c>
      <c r="D17" s="35">
        <v>50</v>
      </c>
      <c r="E17" s="36">
        <v>41820</v>
      </c>
      <c r="F17" s="37">
        <v>12</v>
      </c>
      <c r="G17" s="38" t="s">
        <v>250</v>
      </c>
      <c r="H17" s="39">
        <v>11</v>
      </c>
      <c r="I17" s="39"/>
      <c r="J17" s="39"/>
      <c r="K17" s="39" t="s">
        <v>277</v>
      </c>
      <c r="L17" s="35">
        <f>SUM(O17:R17)</f>
        <v>62.44</v>
      </c>
      <c r="M17" s="35">
        <v>12</v>
      </c>
      <c r="N17" s="35"/>
      <c r="O17" s="35">
        <v>0</v>
      </c>
      <c r="P17" s="35">
        <v>0.5</v>
      </c>
      <c r="Q17" s="35">
        <v>3.39</v>
      </c>
      <c r="R17" s="35">
        <v>58.55</v>
      </c>
      <c r="S17" s="36">
        <v>42381</v>
      </c>
      <c r="T17" s="35"/>
      <c r="U17" s="35"/>
      <c r="V17" s="35"/>
    </row>
    <row r="18" spans="1:22" x14ac:dyDescent="0.2">
      <c r="A18" s="35"/>
      <c r="B18" s="35"/>
      <c r="C18" s="35"/>
      <c r="D18" s="35"/>
      <c r="E18" s="35"/>
      <c r="F18" s="37"/>
      <c r="G18" s="40" t="s">
        <v>257</v>
      </c>
      <c r="H18" s="41">
        <v>1</v>
      </c>
      <c r="I18" s="41"/>
      <c r="J18" s="41"/>
      <c r="K18" s="41" t="s">
        <v>267</v>
      </c>
      <c r="T18" s="35"/>
      <c r="U18" s="35"/>
      <c r="V18" s="35"/>
    </row>
    <row r="19" spans="1:22" x14ac:dyDescent="0.2">
      <c r="A19" s="35" t="s">
        <v>248</v>
      </c>
      <c r="B19" s="35" t="s">
        <v>278</v>
      </c>
      <c r="C19" s="35" t="s">
        <v>48</v>
      </c>
      <c r="D19" s="35" t="s">
        <v>279</v>
      </c>
      <c r="E19" s="36">
        <v>41821</v>
      </c>
      <c r="F19" s="37">
        <v>14</v>
      </c>
      <c r="G19" s="38" t="s">
        <v>250</v>
      </c>
      <c r="H19" s="39">
        <v>8</v>
      </c>
      <c r="I19" s="39"/>
      <c r="J19" s="39"/>
      <c r="K19" s="39" t="s">
        <v>280</v>
      </c>
      <c r="L19" s="35">
        <f>SUM(O19:R19)</f>
        <v>8.25</v>
      </c>
      <c r="M19" s="35">
        <v>8</v>
      </c>
      <c r="N19" s="35"/>
      <c r="O19" s="35">
        <v>0</v>
      </c>
      <c r="P19" s="35">
        <v>0.31</v>
      </c>
      <c r="Q19" s="35">
        <v>0.42</v>
      </c>
      <c r="R19" s="35">
        <v>7.52</v>
      </c>
      <c r="S19" s="36">
        <v>42381</v>
      </c>
      <c r="T19" s="35"/>
      <c r="U19" s="35"/>
      <c r="V19" s="35"/>
    </row>
    <row r="20" spans="1:22" x14ac:dyDescent="0.2">
      <c r="A20" s="35"/>
      <c r="B20" s="35"/>
      <c r="C20" s="35"/>
      <c r="D20" s="35"/>
      <c r="E20" s="35"/>
      <c r="F20" s="37"/>
      <c r="G20" s="44" t="s">
        <v>268</v>
      </c>
      <c r="H20" s="45">
        <v>3</v>
      </c>
      <c r="I20" s="45"/>
      <c r="J20" s="45"/>
      <c r="K20" s="45" t="s">
        <v>281</v>
      </c>
      <c r="L20" s="35"/>
      <c r="M20" s="35"/>
      <c r="N20" s="35">
        <v>3</v>
      </c>
      <c r="O20" s="35">
        <v>0</v>
      </c>
      <c r="P20" s="35"/>
      <c r="Q20" s="35"/>
      <c r="R20" s="35"/>
      <c r="S20" s="35"/>
      <c r="T20" s="35"/>
      <c r="U20" s="35"/>
      <c r="V20" s="35"/>
    </row>
    <row r="21" spans="1:22" x14ac:dyDescent="0.2">
      <c r="A21" s="35"/>
      <c r="B21" s="35"/>
      <c r="C21" s="35"/>
      <c r="D21" s="35"/>
      <c r="E21" s="35"/>
      <c r="F21" s="37"/>
      <c r="G21" s="46" t="s">
        <v>282</v>
      </c>
      <c r="H21" s="46">
        <v>3</v>
      </c>
      <c r="I21" s="46"/>
      <c r="J21" s="46"/>
      <c r="K21" s="46" t="s">
        <v>283</v>
      </c>
      <c r="L21" s="35"/>
      <c r="M21" s="35"/>
      <c r="N21" s="35"/>
      <c r="O21" s="35"/>
      <c r="P21" s="35"/>
      <c r="Q21" s="35"/>
      <c r="R21" s="35"/>
      <c r="S21" s="35"/>
      <c r="T21" s="35" t="s">
        <v>284</v>
      </c>
      <c r="U21" s="35" t="s">
        <v>285</v>
      </c>
      <c r="V21" s="35"/>
    </row>
    <row r="22" spans="1:22" x14ac:dyDescent="0.2">
      <c r="A22" s="35" t="s">
        <v>248</v>
      </c>
      <c r="B22" s="35" t="s">
        <v>9</v>
      </c>
      <c r="C22" s="35" t="s">
        <v>286</v>
      </c>
      <c r="D22" s="35">
        <v>70</v>
      </c>
      <c r="E22" s="36">
        <v>41834</v>
      </c>
      <c r="F22" s="37">
        <v>20</v>
      </c>
      <c r="G22" s="38" t="s">
        <v>250</v>
      </c>
      <c r="H22" s="39">
        <v>14</v>
      </c>
      <c r="I22" s="39"/>
      <c r="J22" s="39"/>
      <c r="K22" s="39" t="s">
        <v>287</v>
      </c>
      <c r="L22" s="35">
        <f>SUM(O22:R22)</f>
        <v>12.920000000000002</v>
      </c>
      <c r="M22" s="35">
        <v>14</v>
      </c>
      <c r="N22" s="35">
        <v>0</v>
      </c>
      <c r="O22" s="35">
        <v>0.51</v>
      </c>
      <c r="P22" s="35">
        <v>1.1000000000000001</v>
      </c>
      <c r="Q22" s="35">
        <v>2.1800000000000002</v>
      </c>
      <c r="R22" s="35">
        <v>9.1300000000000008</v>
      </c>
      <c r="S22" s="36">
        <v>42382</v>
      </c>
      <c r="T22" s="35"/>
      <c r="U22" s="35"/>
      <c r="V22" s="35"/>
    </row>
    <row r="23" spans="1:22" x14ac:dyDescent="0.2">
      <c r="A23" s="35"/>
      <c r="B23" s="35"/>
      <c r="C23" s="35"/>
      <c r="D23" s="35"/>
      <c r="E23" s="35"/>
      <c r="F23" s="37"/>
      <c r="G23" s="47" t="s">
        <v>288</v>
      </c>
      <c r="H23" s="46">
        <v>1</v>
      </c>
      <c r="I23" s="46"/>
      <c r="J23" s="46"/>
      <c r="K23" s="46" t="s">
        <v>289</v>
      </c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x14ac:dyDescent="0.2">
      <c r="A24" s="35"/>
      <c r="B24" s="35"/>
      <c r="C24" s="35"/>
      <c r="D24" s="35"/>
      <c r="E24" s="36"/>
      <c r="F24" s="37"/>
      <c r="G24" s="35" t="s">
        <v>290</v>
      </c>
      <c r="H24" s="37"/>
      <c r="I24" s="37">
        <v>1</v>
      </c>
      <c r="J24" s="37"/>
      <c r="K24" s="36" t="s">
        <v>260</v>
      </c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2" x14ac:dyDescent="0.2">
      <c r="A25" s="35"/>
      <c r="B25" s="35"/>
      <c r="C25" s="35"/>
      <c r="D25" s="35"/>
      <c r="E25" s="36"/>
      <c r="F25" s="37"/>
      <c r="G25" s="35" t="s">
        <v>291</v>
      </c>
      <c r="H25" s="37"/>
      <c r="I25" s="37">
        <v>4</v>
      </c>
      <c r="J25" s="37"/>
      <c r="K25" s="36" t="s">
        <v>292</v>
      </c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x14ac:dyDescent="0.2">
      <c r="A26" s="35" t="s">
        <v>248</v>
      </c>
      <c r="B26" s="35" t="s">
        <v>9</v>
      </c>
      <c r="C26" s="35" t="s">
        <v>293</v>
      </c>
      <c r="D26" s="35">
        <v>80</v>
      </c>
      <c r="E26" s="35"/>
      <c r="F26" s="37">
        <v>15</v>
      </c>
      <c r="G26" s="38" t="s">
        <v>250</v>
      </c>
      <c r="H26" s="39">
        <v>4</v>
      </c>
      <c r="I26" s="39"/>
      <c r="J26" s="39"/>
      <c r="K26" s="39" t="s">
        <v>294</v>
      </c>
      <c r="L26" s="35"/>
      <c r="M26" s="35">
        <v>11</v>
      </c>
      <c r="N26" s="35">
        <v>0</v>
      </c>
      <c r="O26" s="35"/>
      <c r="P26" s="35"/>
      <c r="Q26" s="35"/>
      <c r="R26" s="35"/>
      <c r="S26" s="36">
        <v>42383</v>
      </c>
      <c r="T26" s="35" t="s">
        <v>295</v>
      </c>
      <c r="U26" s="35"/>
      <c r="V26" s="35"/>
    </row>
    <row r="27" spans="1:22" x14ac:dyDescent="0.2">
      <c r="A27" s="35"/>
      <c r="B27" s="35"/>
      <c r="C27" s="35"/>
      <c r="D27" s="35"/>
      <c r="E27" s="35"/>
      <c r="F27" s="37"/>
      <c r="G27" s="40" t="s">
        <v>257</v>
      </c>
      <c r="H27" s="41">
        <v>5</v>
      </c>
      <c r="I27" s="41"/>
      <c r="J27" s="41"/>
      <c r="K27" s="41" t="s">
        <v>296</v>
      </c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22" x14ac:dyDescent="0.2">
      <c r="A28" s="35"/>
      <c r="B28" s="35"/>
      <c r="C28" s="35"/>
      <c r="D28" s="35"/>
      <c r="E28" s="35"/>
      <c r="F28" s="37"/>
      <c r="G28" s="47" t="s">
        <v>297</v>
      </c>
      <c r="H28" s="46">
        <v>2</v>
      </c>
      <c r="I28" s="46"/>
      <c r="J28" s="46"/>
      <c r="K28" s="46" t="s">
        <v>298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x14ac:dyDescent="0.2">
      <c r="A29" s="35"/>
      <c r="B29" s="35"/>
      <c r="C29" s="35"/>
      <c r="D29" s="35"/>
      <c r="E29" s="35"/>
      <c r="F29" s="37"/>
      <c r="G29" s="44" t="s">
        <v>268</v>
      </c>
      <c r="H29" s="45">
        <v>1</v>
      </c>
      <c r="I29" s="45"/>
      <c r="J29" s="45"/>
      <c r="K29" s="45" t="s">
        <v>269</v>
      </c>
      <c r="L29" s="35"/>
      <c r="M29" s="35"/>
      <c r="N29" s="35"/>
      <c r="O29" s="35"/>
      <c r="P29" s="35"/>
      <c r="Q29" s="35"/>
      <c r="R29" s="35"/>
      <c r="S29" s="36"/>
      <c r="T29" s="35" t="s">
        <v>299</v>
      </c>
      <c r="U29" s="35"/>
      <c r="V29" s="35"/>
    </row>
    <row r="30" spans="1:22" x14ac:dyDescent="0.2">
      <c r="A30" s="35"/>
      <c r="B30" s="35"/>
      <c r="C30" s="35"/>
      <c r="D30" s="35"/>
      <c r="E30" s="35"/>
      <c r="F30" s="37"/>
      <c r="G30" s="43" t="s">
        <v>300</v>
      </c>
      <c r="H30" s="35"/>
      <c r="I30" s="35">
        <v>2</v>
      </c>
      <c r="J30" s="35"/>
      <c r="K30" s="35" t="s">
        <v>301</v>
      </c>
      <c r="L30" s="35"/>
      <c r="M30" s="35"/>
      <c r="N30" s="35"/>
      <c r="O30" s="35"/>
      <c r="P30" s="35"/>
      <c r="Q30" s="35"/>
      <c r="R30" s="35"/>
      <c r="S30" s="35"/>
      <c r="T30" s="48" t="s">
        <v>302</v>
      </c>
      <c r="U30" s="35"/>
      <c r="V30" s="35"/>
    </row>
    <row r="31" spans="1:22" x14ac:dyDescent="0.2">
      <c r="A31" s="35"/>
      <c r="B31" s="35"/>
      <c r="C31" s="35"/>
      <c r="D31" s="35"/>
      <c r="E31" s="35"/>
      <c r="F31" s="37"/>
      <c r="G31" s="43" t="s">
        <v>303</v>
      </c>
      <c r="H31" s="35"/>
      <c r="I31" s="35">
        <v>1</v>
      </c>
      <c r="J31" s="35"/>
      <c r="K31" s="35" t="s">
        <v>260</v>
      </c>
      <c r="L31" s="35"/>
      <c r="M31" s="35"/>
      <c r="N31" s="35"/>
      <c r="O31" s="35"/>
      <c r="P31" s="35"/>
      <c r="Q31" s="35"/>
      <c r="R31" s="35"/>
      <c r="S31" s="35"/>
      <c r="T31" s="48"/>
      <c r="U31" s="35"/>
      <c r="V31" s="35"/>
    </row>
    <row r="32" spans="1:22" x14ac:dyDescent="0.2">
      <c r="A32" s="35" t="s">
        <v>248</v>
      </c>
      <c r="B32" s="35" t="s">
        <v>9</v>
      </c>
      <c r="C32" s="35" t="s">
        <v>286</v>
      </c>
      <c r="D32" s="35">
        <v>70</v>
      </c>
      <c r="E32" s="36">
        <v>41831</v>
      </c>
      <c r="F32" s="37">
        <v>20</v>
      </c>
      <c r="G32" s="38" t="s">
        <v>250</v>
      </c>
      <c r="H32" s="39">
        <v>16</v>
      </c>
      <c r="I32" s="39"/>
      <c r="J32" s="39"/>
      <c r="K32" s="39" t="s">
        <v>304</v>
      </c>
      <c r="L32" s="35">
        <f>SUM(O32:R32)</f>
        <v>7.97</v>
      </c>
      <c r="M32" s="35">
        <v>18</v>
      </c>
      <c r="N32" s="35">
        <v>0</v>
      </c>
      <c r="O32" s="35">
        <v>0.4</v>
      </c>
      <c r="P32" s="35">
        <v>0.91</v>
      </c>
      <c r="Q32" s="35">
        <v>1.74</v>
      </c>
      <c r="R32" s="35">
        <v>4.92</v>
      </c>
      <c r="S32" s="36">
        <v>42384</v>
      </c>
      <c r="T32" s="35" t="s">
        <v>305</v>
      </c>
      <c r="U32" s="35"/>
      <c r="V32" s="35"/>
    </row>
    <row r="33" spans="1:22" x14ac:dyDescent="0.2">
      <c r="A33" s="35"/>
      <c r="B33" s="35"/>
      <c r="C33" s="35"/>
      <c r="D33" s="35"/>
      <c r="E33" s="35"/>
      <c r="F33" s="37"/>
      <c r="G33" s="44" t="s">
        <v>268</v>
      </c>
      <c r="H33" s="45">
        <v>1</v>
      </c>
      <c r="I33" s="45"/>
      <c r="J33" s="45"/>
      <c r="K33" s="45" t="s">
        <v>306</v>
      </c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</row>
    <row r="34" spans="1:22" x14ac:dyDescent="0.2">
      <c r="A34" s="35"/>
      <c r="B34" s="35"/>
      <c r="C34" s="35"/>
      <c r="D34" s="35"/>
      <c r="E34" s="35"/>
      <c r="F34" s="37"/>
      <c r="G34" s="47" t="s">
        <v>297</v>
      </c>
      <c r="H34" s="46">
        <v>1</v>
      </c>
      <c r="I34" s="46"/>
      <c r="J34" s="46"/>
      <c r="K34" s="46" t="s">
        <v>269</v>
      </c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x14ac:dyDescent="0.2">
      <c r="A35" s="35"/>
      <c r="B35" s="35"/>
      <c r="C35" s="35"/>
      <c r="D35" s="35"/>
      <c r="E35" s="35"/>
      <c r="F35" s="37"/>
      <c r="G35" s="40" t="s">
        <v>257</v>
      </c>
      <c r="H35" s="41">
        <v>2</v>
      </c>
      <c r="I35" s="41"/>
      <c r="J35" s="41"/>
      <c r="K35" s="41" t="s">
        <v>253</v>
      </c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x14ac:dyDescent="0.2">
      <c r="A36" s="35" t="s">
        <v>248</v>
      </c>
      <c r="B36" s="35" t="s">
        <v>9</v>
      </c>
      <c r="C36" s="35" t="s">
        <v>35</v>
      </c>
      <c r="D36" s="35">
        <v>80</v>
      </c>
      <c r="E36" s="36">
        <v>41831</v>
      </c>
      <c r="F36" s="37">
        <v>20</v>
      </c>
      <c r="G36" s="38" t="s">
        <v>250</v>
      </c>
      <c r="H36" s="39">
        <v>8</v>
      </c>
      <c r="I36" s="39"/>
      <c r="J36" s="39"/>
      <c r="K36" s="39" t="s">
        <v>307</v>
      </c>
      <c r="L36" s="35">
        <f>SUM(O36:R36)</f>
        <v>6.95</v>
      </c>
      <c r="M36" s="35">
        <v>18</v>
      </c>
      <c r="N36" s="35">
        <v>2</v>
      </c>
      <c r="O36" s="35">
        <v>0.26</v>
      </c>
      <c r="P36" s="35">
        <v>0.6</v>
      </c>
      <c r="Q36" s="35">
        <v>0.51</v>
      </c>
      <c r="R36" s="35">
        <v>5.58</v>
      </c>
      <c r="S36" s="36">
        <v>42387</v>
      </c>
      <c r="T36" s="35" t="s">
        <v>308</v>
      </c>
      <c r="U36" s="35"/>
      <c r="V36" s="35"/>
    </row>
    <row r="37" spans="1:22" x14ac:dyDescent="0.2">
      <c r="A37" s="35"/>
      <c r="B37" s="35"/>
      <c r="C37" s="35"/>
      <c r="D37" s="35"/>
      <c r="E37" s="35"/>
      <c r="F37" s="37"/>
      <c r="G37" s="47" t="s">
        <v>297</v>
      </c>
      <c r="H37" s="46">
        <v>2</v>
      </c>
      <c r="I37" s="46"/>
      <c r="J37" s="46"/>
      <c r="K37" s="46" t="s">
        <v>309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pans="1:22" x14ac:dyDescent="0.2">
      <c r="A38" s="35"/>
      <c r="B38" s="35"/>
      <c r="C38" s="35"/>
      <c r="D38" s="35"/>
      <c r="E38" s="35"/>
      <c r="F38" s="37"/>
      <c r="G38" s="49" t="s">
        <v>310</v>
      </c>
      <c r="H38" s="49">
        <v>2</v>
      </c>
      <c r="I38" s="49"/>
      <c r="J38" s="49"/>
      <c r="K38" s="49" t="s">
        <v>258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x14ac:dyDescent="0.2">
      <c r="A39" s="35"/>
      <c r="B39" s="35"/>
      <c r="C39" s="35"/>
      <c r="D39" s="35"/>
      <c r="E39" s="35"/>
      <c r="F39" s="37"/>
      <c r="G39" s="43" t="s">
        <v>311</v>
      </c>
      <c r="H39" s="35"/>
      <c r="I39" s="35"/>
      <c r="J39" s="35">
        <v>2</v>
      </c>
      <c r="K39" s="35" t="s">
        <v>301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2" x14ac:dyDescent="0.2">
      <c r="A40" s="35"/>
      <c r="B40" s="35"/>
      <c r="C40" s="35"/>
      <c r="D40" s="35"/>
      <c r="E40" s="35"/>
      <c r="F40" s="37"/>
      <c r="G40" s="40" t="s">
        <v>257</v>
      </c>
      <c r="H40" s="41">
        <v>1</v>
      </c>
      <c r="I40" s="41"/>
      <c r="J40" s="41"/>
      <c r="K40" s="41" t="s">
        <v>269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</row>
    <row r="41" spans="1:22" x14ac:dyDescent="0.2">
      <c r="A41" s="35"/>
      <c r="B41" s="35"/>
      <c r="C41" s="35"/>
      <c r="D41" s="35"/>
      <c r="E41" s="35"/>
      <c r="F41" s="37"/>
      <c r="G41" s="43" t="s">
        <v>303</v>
      </c>
      <c r="H41" s="35"/>
      <c r="I41" s="35">
        <v>1</v>
      </c>
      <c r="J41" s="35"/>
      <c r="K41" s="35" t="s">
        <v>306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 x14ac:dyDescent="0.2">
      <c r="A42" s="35"/>
      <c r="B42" s="35"/>
      <c r="C42" s="35"/>
      <c r="D42" s="35"/>
      <c r="E42" s="35"/>
      <c r="F42" s="37"/>
      <c r="G42" s="35" t="s">
        <v>312</v>
      </c>
      <c r="H42" s="35"/>
      <c r="I42" s="35"/>
      <c r="J42" s="35">
        <v>4</v>
      </c>
      <c r="K42" s="35" t="s">
        <v>313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</row>
    <row r="43" spans="1:22" x14ac:dyDescent="0.2">
      <c r="A43" s="35" t="s">
        <v>248</v>
      </c>
      <c r="B43" s="35" t="s">
        <v>9</v>
      </c>
      <c r="C43" s="35" t="s">
        <v>293</v>
      </c>
      <c r="D43" s="35">
        <v>80</v>
      </c>
      <c r="E43" s="35" t="s">
        <v>279</v>
      </c>
      <c r="F43" s="37">
        <v>20</v>
      </c>
      <c r="G43" s="49" t="s">
        <v>310</v>
      </c>
      <c r="H43" s="49">
        <v>9</v>
      </c>
      <c r="I43" s="49"/>
      <c r="J43" s="49"/>
      <c r="K43" s="49" t="s">
        <v>314</v>
      </c>
      <c r="L43" s="35">
        <f>SUM(O43:R43)</f>
        <v>2.3600000000000003</v>
      </c>
      <c r="M43" s="35">
        <v>11</v>
      </c>
      <c r="N43" s="35">
        <v>9</v>
      </c>
      <c r="O43" s="35">
        <v>0.08</v>
      </c>
      <c r="P43" s="35">
        <v>0.25</v>
      </c>
      <c r="Q43" s="35">
        <v>0.43</v>
      </c>
      <c r="R43" s="35">
        <v>1.6</v>
      </c>
      <c r="S43" s="36">
        <v>42388</v>
      </c>
      <c r="T43" s="35" t="s">
        <v>315</v>
      </c>
      <c r="U43" s="35"/>
      <c r="V43" s="35" t="s">
        <v>316</v>
      </c>
    </row>
    <row r="44" spans="1:22" x14ac:dyDescent="0.2">
      <c r="A44" s="35"/>
      <c r="B44" s="35"/>
      <c r="C44" s="35"/>
      <c r="D44" s="35"/>
      <c r="E44" s="35"/>
      <c r="F44" s="37"/>
      <c r="G44" s="46" t="s">
        <v>282</v>
      </c>
      <c r="H44" s="46">
        <v>1</v>
      </c>
      <c r="I44" s="46"/>
      <c r="J44" s="46"/>
      <c r="K44" s="46" t="s">
        <v>306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</row>
    <row r="45" spans="1:22" x14ac:dyDescent="0.2">
      <c r="A45" s="35"/>
      <c r="B45" s="35"/>
      <c r="C45" s="35"/>
      <c r="D45" s="35"/>
      <c r="E45" s="35"/>
      <c r="F45" s="37"/>
      <c r="G45" s="44" t="s">
        <v>268</v>
      </c>
      <c r="H45" s="45">
        <v>2</v>
      </c>
      <c r="I45" s="45"/>
      <c r="J45" s="45"/>
      <c r="K45" s="45" t="s">
        <v>317</v>
      </c>
      <c r="L45" s="35"/>
      <c r="M45" s="35"/>
      <c r="N45" s="35"/>
      <c r="O45" s="35"/>
      <c r="P45" s="35"/>
      <c r="Q45" s="35"/>
      <c r="R45" s="35"/>
      <c r="S45" s="35"/>
      <c r="T45" s="35" t="s">
        <v>316</v>
      </c>
      <c r="U45" s="35"/>
      <c r="V45" s="35"/>
    </row>
    <row r="46" spans="1:22" x14ac:dyDescent="0.2">
      <c r="A46" s="35"/>
      <c r="B46" s="35"/>
      <c r="C46" s="35"/>
      <c r="D46" s="35"/>
      <c r="E46" s="35"/>
      <c r="F46" s="37"/>
      <c r="G46" s="43" t="s">
        <v>300</v>
      </c>
      <c r="H46" s="35"/>
      <c r="I46" s="35">
        <v>3</v>
      </c>
      <c r="J46" s="35"/>
      <c r="K46" s="35" t="s">
        <v>318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x14ac:dyDescent="0.2">
      <c r="A47" s="35"/>
      <c r="B47" s="35"/>
      <c r="C47" s="35"/>
      <c r="D47" s="35"/>
      <c r="E47" s="35"/>
      <c r="F47" s="37"/>
      <c r="G47" s="35" t="s">
        <v>311</v>
      </c>
      <c r="H47" s="35"/>
      <c r="I47" s="35"/>
      <c r="J47" s="35">
        <v>2</v>
      </c>
      <c r="K47" s="35" t="s">
        <v>319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2" x14ac:dyDescent="0.2">
      <c r="A48" s="35"/>
      <c r="B48" s="35"/>
      <c r="C48" s="35"/>
      <c r="D48" s="35"/>
      <c r="E48" s="35"/>
      <c r="F48" s="37"/>
      <c r="G48" s="39" t="s">
        <v>250</v>
      </c>
      <c r="H48" s="39">
        <v>2</v>
      </c>
      <c r="I48" s="39"/>
      <c r="J48" s="39"/>
      <c r="K48" s="39" t="s">
        <v>319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x14ac:dyDescent="0.2">
      <c r="A49" s="35"/>
      <c r="B49" s="35"/>
      <c r="C49" s="35"/>
      <c r="D49" s="35"/>
      <c r="E49" s="35"/>
      <c r="F49" s="37"/>
      <c r="G49" s="35" t="s">
        <v>320</v>
      </c>
      <c r="H49" s="35"/>
      <c r="I49" s="35"/>
      <c r="J49" s="35">
        <v>1</v>
      </c>
      <c r="K49" s="35" t="s">
        <v>306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x14ac:dyDescent="0.2">
      <c r="A50" s="35" t="s">
        <v>248</v>
      </c>
      <c r="B50" s="35" t="s">
        <v>9</v>
      </c>
      <c r="C50" s="35" t="s">
        <v>286</v>
      </c>
      <c r="D50" s="35">
        <v>70</v>
      </c>
      <c r="E50" s="36">
        <v>41831</v>
      </c>
      <c r="F50" s="37">
        <v>20</v>
      </c>
      <c r="G50" s="35" t="s">
        <v>259</v>
      </c>
      <c r="H50" s="35"/>
      <c r="I50" s="35">
        <v>4</v>
      </c>
      <c r="J50" s="35"/>
      <c r="K50" s="35" t="s">
        <v>321</v>
      </c>
      <c r="L50" s="35">
        <f>SUM(O50:R50)</f>
        <v>10.77</v>
      </c>
      <c r="M50" s="35">
        <v>20</v>
      </c>
      <c r="N50" s="35">
        <v>0</v>
      </c>
      <c r="O50" s="35">
        <v>0.49</v>
      </c>
      <c r="P50" s="35">
        <v>0.56000000000000005</v>
      </c>
      <c r="Q50" s="35">
        <v>1.38</v>
      </c>
      <c r="R50" s="35">
        <v>8.34</v>
      </c>
      <c r="S50" s="36">
        <v>42394</v>
      </c>
      <c r="T50" s="35" t="s">
        <v>315</v>
      </c>
      <c r="U50" s="35"/>
      <c r="V50" s="35"/>
    </row>
    <row r="51" spans="1:22" x14ac:dyDescent="0.2">
      <c r="A51" s="35"/>
      <c r="B51" s="35"/>
      <c r="C51" s="35"/>
      <c r="D51" s="35"/>
      <c r="E51" s="35"/>
      <c r="F51" s="37"/>
      <c r="G51" s="38" t="s">
        <v>250</v>
      </c>
      <c r="H51" s="39">
        <v>7</v>
      </c>
      <c r="I51" s="39"/>
      <c r="J51" s="39"/>
      <c r="K51" s="39" t="s">
        <v>322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 spans="1:22" x14ac:dyDescent="0.2">
      <c r="A52" s="35"/>
      <c r="B52" s="35"/>
      <c r="C52" s="35"/>
      <c r="D52" s="35"/>
      <c r="E52" s="35"/>
      <c r="F52" s="37"/>
      <c r="G52" s="40" t="s">
        <v>257</v>
      </c>
      <c r="H52" s="41">
        <v>4</v>
      </c>
      <c r="I52" s="41"/>
      <c r="J52" s="41"/>
      <c r="K52" s="41" t="s">
        <v>321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</row>
    <row r="53" spans="1:22" x14ac:dyDescent="0.2">
      <c r="A53" s="35"/>
      <c r="B53" s="35"/>
      <c r="C53" s="35"/>
      <c r="D53" s="35"/>
      <c r="E53" s="35"/>
      <c r="F53" s="37"/>
      <c r="G53" s="46" t="s">
        <v>282</v>
      </c>
      <c r="H53" s="46">
        <v>2</v>
      </c>
      <c r="I53" s="46"/>
      <c r="J53" s="46"/>
      <c r="K53" s="46" t="s">
        <v>298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1:22" x14ac:dyDescent="0.2">
      <c r="A54" s="35"/>
      <c r="B54" s="35"/>
      <c r="C54" s="35"/>
      <c r="D54" s="35"/>
      <c r="E54" s="35"/>
      <c r="F54" s="37"/>
      <c r="G54" s="35" t="s">
        <v>312</v>
      </c>
      <c r="H54" s="35"/>
      <c r="I54" s="35"/>
      <c r="J54" s="35">
        <v>2</v>
      </c>
      <c r="K54" s="35" t="s">
        <v>301</v>
      </c>
      <c r="L54" s="35"/>
      <c r="M54" s="35"/>
      <c r="N54" s="35"/>
      <c r="O54" s="35"/>
      <c r="P54" s="35"/>
      <c r="Q54" s="35"/>
      <c r="R54" s="35"/>
      <c r="S54" s="35"/>
      <c r="T54" s="35" t="s">
        <v>323</v>
      </c>
      <c r="U54" s="35"/>
      <c r="V54" s="35"/>
    </row>
    <row r="55" spans="1:22" x14ac:dyDescent="0.2">
      <c r="A55" s="35"/>
      <c r="B55" s="35"/>
      <c r="C55" s="35"/>
      <c r="D55" s="35"/>
      <c r="E55" s="35"/>
      <c r="F55" s="37"/>
      <c r="G55" s="50" t="s">
        <v>324</v>
      </c>
      <c r="H55" s="50">
        <v>1</v>
      </c>
      <c r="I55" s="50"/>
      <c r="J55" s="50"/>
      <c r="K55" s="50" t="s">
        <v>306</v>
      </c>
      <c r="L55" s="35"/>
      <c r="M55" s="35"/>
      <c r="N55" s="35"/>
      <c r="O55" s="35"/>
      <c r="P55" s="35"/>
      <c r="Q55" s="35"/>
      <c r="R55" s="35"/>
      <c r="S55" s="35"/>
      <c r="T55" s="35" t="s">
        <v>325</v>
      </c>
      <c r="U55" s="35" t="s">
        <v>326</v>
      </c>
      <c r="V55" s="35"/>
    </row>
    <row r="56" spans="1:22" x14ac:dyDescent="0.2">
      <c r="A56" s="35" t="s">
        <v>248</v>
      </c>
      <c r="B56" s="35" t="s">
        <v>9</v>
      </c>
      <c r="C56" s="35" t="s">
        <v>327</v>
      </c>
      <c r="D56" s="35" t="s">
        <v>328</v>
      </c>
      <c r="E56" s="36">
        <v>41831</v>
      </c>
      <c r="F56" s="37">
        <v>21</v>
      </c>
      <c r="G56" s="38" t="s">
        <v>250</v>
      </c>
      <c r="H56" s="39">
        <v>13</v>
      </c>
      <c r="I56" s="39"/>
      <c r="J56" s="39"/>
      <c r="K56" s="39" t="s">
        <v>329</v>
      </c>
      <c r="L56" s="35">
        <f>SUM(O56:R56)</f>
        <v>5</v>
      </c>
      <c r="M56" s="35">
        <v>20</v>
      </c>
      <c r="N56" s="35">
        <v>0</v>
      </c>
      <c r="O56" s="35">
        <v>0.59</v>
      </c>
      <c r="P56" s="35">
        <v>0.53</v>
      </c>
      <c r="Q56" s="35">
        <v>1.23</v>
      </c>
      <c r="R56" s="35">
        <v>2.65</v>
      </c>
      <c r="S56" s="36">
        <v>42394</v>
      </c>
      <c r="T56" s="35" t="s">
        <v>315</v>
      </c>
      <c r="U56" s="35"/>
      <c r="V56" s="35"/>
    </row>
    <row r="57" spans="1:22" x14ac:dyDescent="0.2">
      <c r="A57" s="35"/>
      <c r="B57" s="35"/>
      <c r="C57" s="35"/>
      <c r="D57" s="35"/>
      <c r="E57" s="35"/>
      <c r="F57" s="37"/>
      <c r="G57" s="43" t="s">
        <v>300</v>
      </c>
      <c r="H57" s="35"/>
      <c r="I57" s="35">
        <v>1</v>
      </c>
      <c r="J57" s="35"/>
      <c r="K57" s="35" t="s">
        <v>260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</row>
    <row r="58" spans="1:22" x14ac:dyDescent="0.2">
      <c r="A58" s="35"/>
      <c r="B58" s="35"/>
      <c r="C58" s="35"/>
      <c r="D58" s="35"/>
      <c r="E58" s="35"/>
      <c r="F58" s="37"/>
      <c r="G58" s="46" t="s">
        <v>282</v>
      </c>
      <c r="H58" s="46">
        <v>2</v>
      </c>
      <c r="I58" s="46"/>
      <c r="J58" s="46"/>
      <c r="K58" s="46" t="s">
        <v>317</v>
      </c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</row>
    <row r="59" spans="1:22" x14ac:dyDescent="0.2">
      <c r="A59" s="35"/>
      <c r="B59" s="35"/>
      <c r="C59" s="35"/>
      <c r="D59" s="35"/>
      <c r="E59" s="35"/>
      <c r="F59" s="37"/>
      <c r="G59" s="40" t="s">
        <v>257</v>
      </c>
      <c r="H59" s="41">
        <v>1</v>
      </c>
      <c r="I59" s="41"/>
      <c r="J59" s="41"/>
      <c r="K59" s="41" t="s">
        <v>260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</row>
    <row r="60" spans="1:22" x14ac:dyDescent="0.2">
      <c r="A60" s="35"/>
      <c r="B60" s="35"/>
      <c r="C60" s="35"/>
      <c r="D60" s="35"/>
      <c r="E60" s="35"/>
      <c r="F60" s="37"/>
      <c r="G60" s="35" t="s">
        <v>311</v>
      </c>
      <c r="H60" s="35"/>
      <c r="I60" s="35"/>
      <c r="J60" s="35">
        <v>2</v>
      </c>
      <c r="K60" s="35" t="s">
        <v>298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</row>
    <row r="61" spans="1:22" x14ac:dyDescent="0.2">
      <c r="A61" s="35"/>
      <c r="B61" s="35"/>
      <c r="C61" s="35"/>
      <c r="D61" s="35"/>
      <c r="E61" s="35"/>
      <c r="F61" s="37"/>
      <c r="G61" s="35" t="s">
        <v>312</v>
      </c>
      <c r="H61" s="35"/>
      <c r="I61" s="35"/>
      <c r="J61" s="35">
        <v>2</v>
      </c>
      <c r="K61" s="35" t="s">
        <v>330</v>
      </c>
      <c r="L61" s="35"/>
      <c r="M61" s="35"/>
      <c r="N61" s="35"/>
      <c r="O61" s="35"/>
      <c r="P61" s="35"/>
      <c r="Q61" s="35"/>
      <c r="R61" s="35"/>
      <c r="S61" s="35"/>
      <c r="T61" s="35" t="s">
        <v>331</v>
      </c>
      <c r="U61" s="35"/>
      <c r="V61" s="35"/>
    </row>
    <row r="62" spans="1:22" x14ac:dyDescent="0.2">
      <c r="A62" s="35"/>
      <c r="B62" s="35" t="s">
        <v>278</v>
      </c>
      <c r="C62" s="35" t="s">
        <v>332</v>
      </c>
      <c r="D62" s="35" t="s">
        <v>333</v>
      </c>
      <c r="E62" s="36">
        <v>41821</v>
      </c>
      <c r="F62" s="37">
        <v>20</v>
      </c>
      <c r="G62" s="38" t="s">
        <v>250</v>
      </c>
      <c r="H62" s="39">
        <v>19</v>
      </c>
      <c r="I62" s="39"/>
      <c r="J62" s="39"/>
      <c r="K62" s="39" t="s">
        <v>334</v>
      </c>
      <c r="L62" s="35">
        <f>SUM(O62:R62)</f>
        <v>4.45</v>
      </c>
      <c r="M62" s="35">
        <v>19</v>
      </c>
      <c r="N62" s="35">
        <v>0</v>
      </c>
      <c r="O62" s="35">
        <v>0.45</v>
      </c>
      <c r="P62" s="35">
        <v>0.63</v>
      </c>
      <c r="Q62" s="35">
        <v>1.55</v>
      </c>
      <c r="R62" s="35">
        <v>1.82</v>
      </c>
      <c r="S62" s="36">
        <v>42395</v>
      </c>
      <c r="T62" s="35" t="s">
        <v>335</v>
      </c>
      <c r="U62" s="35"/>
      <c r="V62" s="35"/>
    </row>
    <row r="63" spans="1:22" x14ac:dyDescent="0.2">
      <c r="A63" s="35"/>
      <c r="B63" s="35"/>
      <c r="C63" s="35"/>
      <c r="D63" s="35"/>
      <c r="E63" s="35"/>
      <c r="F63" s="37"/>
      <c r="G63" s="46" t="s">
        <v>282</v>
      </c>
      <c r="H63" s="46">
        <v>1</v>
      </c>
      <c r="I63" s="46"/>
      <c r="J63" s="46"/>
      <c r="K63" s="46" t="s">
        <v>306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</row>
    <row r="64" spans="1:22" x14ac:dyDescent="0.2">
      <c r="A64" s="35" t="s">
        <v>248</v>
      </c>
      <c r="B64" s="35" t="s">
        <v>278</v>
      </c>
      <c r="C64" s="35" t="s">
        <v>336</v>
      </c>
      <c r="D64" s="35" t="s">
        <v>337</v>
      </c>
      <c r="E64" s="36">
        <v>41821</v>
      </c>
      <c r="F64" s="37">
        <v>20</v>
      </c>
      <c r="G64" s="38" t="s">
        <v>250</v>
      </c>
      <c r="H64" s="39">
        <v>20</v>
      </c>
      <c r="I64" s="39"/>
      <c r="J64" s="39"/>
      <c r="K64" s="39" t="s">
        <v>338</v>
      </c>
      <c r="L64" s="35">
        <f>SUM(O64:R64)</f>
        <v>13.5</v>
      </c>
      <c r="M64" s="35">
        <v>20</v>
      </c>
      <c r="N64" s="35">
        <v>0</v>
      </c>
      <c r="O64" s="35">
        <v>0.56999999999999995</v>
      </c>
      <c r="P64" s="35">
        <v>1.37</v>
      </c>
      <c r="Q64" s="35">
        <v>2.41</v>
      </c>
      <c r="R64" s="35">
        <v>9.15</v>
      </c>
      <c r="S64" s="36">
        <v>42395</v>
      </c>
      <c r="T64" s="35" t="s">
        <v>335</v>
      </c>
      <c r="U64" s="35"/>
      <c r="V64" s="35"/>
    </row>
    <row r="65" spans="1:22" x14ac:dyDescent="0.2">
      <c r="A65" s="35" t="s">
        <v>248</v>
      </c>
      <c r="B65" s="35" t="s">
        <v>278</v>
      </c>
      <c r="C65" s="35" t="s">
        <v>336</v>
      </c>
      <c r="D65" s="35" t="s">
        <v>337</v>
      </c>
      <c r="E65" s="36">
        <v>41821</v>
      </c>
      <c r="F65" s="37">
        <v>20</v>
      </c>
      <c r="G65" s="38" t="s">
        <v>250</v>
      </c>
      <c r="H65" s="39">
        <v>16</v>
      </c>
      <c r="I65" s="39"/>
      <c r="J65" s="39"/>
      <c r="K65" s="39" t="s">
        <v>339</v>
      </c>
      <c r="L65" s="35">
        <f>SUM(O65:R65)</f>
        <v>12.649999999999999</v>
      </c>
      <c r="M65" s="35">
        <v>16</v>
      </c>
      <c r="N65" s="35">
        <v>4</v>
      </c>
      <c r="O65" s="35">
        <v>0.35</v>
      </c>
      <c r="P65" s="35">
        <v>0.88</v>
      </c>
      <c r="Q65" s="35">
        <v>3.06</v>
      </c>
      <c r="R65" s="35">
        <v>8.36</v>
      </c>
      <c r="S65" s="36">
        <v>42395</v>
      </c>
      <c r="T65" s="35" t="s">
        <v>340</v>
      </c>
      <c r="U65" s="35"/>
      <c r="V65" s="35"/>
    </row>
    <row r="66" spans="1:22" x14ac:dyDescent="0.2">
      <c r="A66" s="35"/>
      <c r="B66" s="35"/>
      <c r="C66" s="35"/>
      <c r="D66" s="35"/>
      <c r="E66" s="36"/>
      <c r="F66" s="37"/>
      <c r="G66" s="49" t="s">
        <v>310</v>
      </c>
      <c r="H66" s="49">
        <v>4</v>
      </c>
      <c r="I66" s="49"/>
      <c r="J66" s="49"/>
      <c r="K66" s="49" t="s">
        <v>341</v>
      </c>
      <c r="L66" s="35"/>
      <c r="M66" s="35"/>
      <c r="N66" s="35"/>
      <c r="O66" s="35"/>
      <c r="P66" s="35"/>
      <c r="Q66" s="35"/>
      <c r="R66" s="35"/>
      <c r="S66" s="36"/>
      <c r="T66" s="35"/>
      <c r="U66" s="35"/>
      <c r="V66" s="35"/>
    </row>
    <row r="67" spans="1:22" x14ac:dyDescent="0.2">
      <c r="A67" s="35" t="s">
        <v>248</v>
      </c>
      <c r="B67" s="35" t="s">
        <v>278</v>
      </c>
      <c r="C67" s="35" t="s">
        <v>332</v>
      </c>
      <c r="D67" s="35" t="s">
        <v>333</v>
      </c>
      <c r="E67" s="36">
        <v>41821</v>
      </c>
      <c r="F67" s="37">
        <v>20</v>
      </c>
      <c r="G67" s="46" t="s">
        <v>282</v>
      </c>
      <c r="H67" s="46">
        <v>12</v>
      </c>
      <c r="I67" s="46"/>
      <c r="J67" s="46"/>
      <c r="K67" s="46" t="s">
        <v>342</v>
      </c>
      <c r="L67" s="35">
        <f>SUM(O67:R67)</f>
        <v>7.42</v>
      </c>
      <c r="M67" s="35"/>
      <c r="N67" s="35"/>
      <c r="O67" s="35">
        <v>0.17</v>
      </c>
      <c r="P67" s="35">
        <v>0.54</v>
      </c>
      <c r="Q67" s="35">
        <v>1.18</v>
      </c>
      <c r="R67" s="35">
        <v>5.53</v>
      </c>
      <c r="S67" s="36">
        <v>42396</v>
      </c>
      <c r="T67" s="35" t="s">
        <v>340</v>
      </c>
      <c r="U67" s="35" t="s">
        <v>343</v>
      </c>
      <c r="V67" s="35"/>
    </row>
    <row r="68" spans="1:22" x14ac:dyDescent="0.2">
      <c r="A68" s="35"/>
      <c r="B68" s="35"/>
      <c r="C68" s="35"/>
      <c r="D68" s="35"/>
      <c r="E68" s="36"/>
      <c r="F68" s="37"/>
      <c r="G68" s="49" t="s">
        <v>310</v>
      </c>
      <c r="H68" s="49">
        <v>2</v>
      </c>
      <c r="I68" s="49"/>
      <c r="J68" s="49"/>
      <c r="K68" s="49" t="s">
        <v>298</v>
      </c>
      <c r="L68" s="35"/>
      <c r="M68" s="35"/>
      <c r="N68" s="35">
        <v>2</v>
      </c>
      <c r="O68" s="35"/>
      <c r="P68" s="35"/>
      <c r="Q68" s="35"/>
      <c r="R68" s="35"/>
      <c r="S68" s="36"/>
      <c r="T68" s="35"/>
      <c r="U68" s="35"/>
      <c r="V68" s="35"/>
    </row>
    <row r="69" spans="1:22" x14ac:dyDescent="0.2">
      <c r="A69" s="35"/>
      <c r="B69" s="35"/>
      <c r="C69" s="35"/>
      <c r="D69" s="35"/>
      <c r="E69" s="36"/>
      <c r="F69" s="37"/>
      <c r="G69" s="38" t="s">
        <v>250</v>
      </c>
      <c r="H69" s="39">
        <v>2</v>
      </c>
      <c r="I69" s="39"/>
      <c r="J69" s="39"/>
      <c r="K69" s="39" t="s">
        <v>344</v>
      </c>
      <c r="L69" s="35"/>
      <c r="M69" s="35">
        <v>2</v>
      </c>
      <c r="N69" s="35"/>
      <c r="O69" s="35"/>
      <c r="P69" s="35"/>
      <c r="Q69" s="35"/>
      <c r="R69" s="35"/>
      <c r="S69" s="36"/>
      <c r="T69" s="35"/>
      <c r="U69" s="35"/>
      <c r="V69" s="35"/>
    </row>
    <row r="70" spans="1:22" x14ac:dyDescent="0.2">
      <c r="A70" s="35"/>
      <c r="B70" s="35"/>
      <c r="C70" s="35"/>
      <c r="D70" s="35"/>
      <c r="E70" s="35"/>
      <c r="F70" s="37"/>
      <c r="G70" s="40" t="s">
        <v>257</v>
      </c>
      <c r="H70" s="41">
        <v>2</v>
      </c>
      <c r="I70" s="41"/>
      <c r="J70" s="41"/>
      <c r="K70" s="41" t="s">
        <v>253</v>
      </c>
      <c r="L70" s="35"/>
      <c r="M70" s="35">
        <v>2</v>
      </c>
      <c r="N70" s="35"/>
      <c r="O70" s="35"/>
      <c r="P70" s="35"/>
      <c r="Q70" s="35"/>
      <c r="R70" s="35"/>
      <c r="S70" s="35"/>
      <c r="T70" s="35"/>
      <c r="U70" s="35"/>
      <c r="V70" s="35"/>
    </row>
    <row r="71" spans="1:22" x14ac:dyDescent="0.2">
      <c r="A71" s="35"/>
      <c r="B71" s="35"/>
      <c r="C71" s="35"/>
      <c r="D71" s="35"/>
      <c r="E71" s="35"/>
      <c r="F71" s="37"/>
      <c r="G71" s="50" t="s">
        <v>324</v>
      </c>
      <c r="H71" s="50">
        <v>1</v>
      </c>
      <c r="I71" s="50"/>
      <c r="J71" s="50"/>
      <c r="K71" s="50" t="s">
        <v>269</v>
      </c>
      <c r="L71" s="35"/>
      <c r="M71" s="35">
        <v>1</v>
      </c>
      <c r="N71" s="35"/>
      <c r="O71" s="35"/>
      <c r="P71" s="35"/>
      <c r="Q71" s="35"/>
      <c r="R71" s="35"/>
      <c r="S71" s="35"/>
      <c r="T71" s="35"/>
      <c r="U71" s="35"/>
      <c r="V71" s="35"/>
    </row>
    <row r="72" spans="1:22" x14ac:dyDescent="0.2">
      <c r="A72" s="35"/>
      <c r="B72" s="35"/>
      <c r="C72" s="35"/>
      <c r="D72" s="35"/>
      <c r="E72" s="35"/>
      <c r="F72" s="37"/>
      <c r="G72" s="35" t="s">
        <v>312</v>
      </c>
      <c r="H72" s="35"/>
      <c r="I72" s="35"/>
      <c r="J72" s="35">
        <v>1</v>
      </c>
      <c r="K72" s="35" t="s">
        <v>306</v>
      </c>
      <c r="L72" s="35"/>
      <c r="M72" s="35"/>
      <c r="N72" s="35"/>
      <c r="O72" s="35"/>
      <c r="P72" s="35"/>
      <c r="Q72" s="35"/>
      <c r="R72" s="35"/>
      <c r="S72" s="35"/>
      <c r="T72" s="35" t="s">
        <v>345</v>
      </c>
      <c r="U72" s="35"/>
      <c r="V72" s="35"/>
    </row>
    <row r="73" spans="1:22" x14ac:dyDescent="0.2">
      <c r="A73" s="35"/>
      <c r="B73" s="35"/>
      <c r="C73" s="35"/>
      <c r="D73" s="35"/>
      <c r="E73" s="35"/>
      <c r="F73" s="37"/>
      <c r="G73" s="37"/>
      <c r="H73" s="37"/>
      <c r="I73" s="37"/>
      <c r="J73" s="37"/>
      <c r="K73" s="37"/>
      <c r="L73" s="35"/>
      <c r="M73" s="37"/>
      <c r="N73" s="35"/>
      <c r="O73" s="35"/>
      <c r="P73" s="35"/>
      <c r="Q73" s="35">
        <f>SUM(T73:W73)</f>
        <v>0</v>
      </c>
      <c r="R73" s="35"/>
      <c r="S73" s="35"/>
      <c r="T73" s="35"/>
      <c r="U73" s="35"/>
      <c r="V73" s="35"/>
    </row>
    <row r="74" spans="1:22" x14ac:dyDescent="0.2">
      <c r="A74" s="35"/>
      <c r="B74" s="35"/>
      <c r="C74" s="35"/>
      <c r="D74" s="35"/>
      <c r="E74" s="32" t="s">
        <v>346</v>
      </c>
      <c r="F74" s="34">
        <f>SUM(F4:F73)</f>
        <v>289</v>
      </c>
      <c r="G74" s="32"/>
      <c r="H74" s="32">
        <f t="shared" ref="H74:R74" si="0">SUM(H4:H73)</f>
        <v>249</v>
      </c>
      <c r="I74" s="32">
        <f t="shared" si="0"/>
        <v>18</v>
      </c>
      <c r="J74" s="32">
        <f t="shared" si="0"/>
        <v>22</v>
      </c>
      <c r="K74" s="32">
        <f t="shared" si="0"/>
        <v>0</v>
      </c>
      <c r="L74" s="32">
        <f t="shared" si="0"/>
        <v>269.35000000000002</v>
      </c>
      <c r="M74" s="32">
        <f t="shared" si="0"/>
        <v>233</v>
      </c>
      <c r="N74" s="32">
        <f t="shared" si="0"/>
        <v>20</v>
      </c>
      <c r="O74" s="32">
        <f t="shared" si="0"/>
        <v>4.3499999999999996</v>
      </c>
      <c r="P74" s="32">
        <f t="shared" si="0"/>
        <v>9.34</v>
      </c>
      <c r="Q74" s="32">
        <f t="shared" si="0"/>
        <v>24.849999999999998</v>
      </c>
      <c r="R74" s="32">
        <f t="shared" si="0"/>
        <v>213.59</v>
      </c>
      <c r="S74" s="32"/>
      <c r="T74" s="35">
        <f>SUM(T4:T73)</f>
        <v>0</v>
      </c>
      <c r="U74" s="35">
        <f>SUM(U4:U73)</f>
        <v>0</v>
      </c>
      <c r="V74" s="35"/>
    </row>
    <row r="75" spans="1:22" x14ac:dyDescent="0.2">
      <c r="A75" s="35"/>
      <c r="B75" s="35"/>
      <c r="C75" s="35"/>
      <c r="D75" s="35"/>
      <c r="E75" s="35"/>
      <c r="F75" s="37"/>
      <c r="G75" s="35"/>
      <c r="H75" s="35"/>
      <c r="I75" s="35"/>
      <c r="J75" s="35"/>
      <c r="K75" s="35"/>
      <c r="L75" s="35" t="s">
        <v>279</v>
      </c>
      <c r="M75" s="35"/>
      <c r="N75" s="35"/>
      <c r="O75" s="35"/>
      <c r="P75" s="35"/>
      <c r="Q75" s="35"/>
      <c r="R75" s="35"/>
      <c r="S75" s="35"/>
      <c r="T75" s="35"/>
      <c r="U75" s="35"/>
      <c r="V75" s="35"/>
    </row>
    <row r="76" spans="1:22" x14ac:dyDescent="0.2">
      <c r="F76" s="33"/>
    </row>
    <row r="77" spans="1:22" x14ac:dyDescent="0.2">
      <c r="F77" s="33"/>
    </row>
    <row r="78" spans="1:22" x14ac:dyDescent="0.2">
      <c r="F78" s="33"/>
    </row>
    <row r="79" spans="1:22" x14ac:dyDescent="0.2">
      <c r="F79" s="33"/>
    </row>
    <row r="80" spans="1:22" x14ac:dyDescent="0.2">
      <c r="F80" s="33"/>
    </row>
    <row r="81" spans="6:6" x14ac:dyDescent="0.2">
      <c r="F81" s="33"/>
    </row>
    <row r="82" spans="6:6" x14ac:dyDescent="0.2">
      <c r="F82" s="33"/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C31" sqref="C31"/>
    </sheetView>
  </sheetViews>
  <sheetFormatPr baseColWidth="10" defaultRowHeight="16" x14ac:dyDescent="0.2"/>
  <cols>
    <col min="2" max="2" width="14.1640625" customWidth="1"/>
  </cols>
  <sheetData>
    <row r="1" spans="1:9" ht="17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7" thickTop="1" x14ac:dyDescent="0.2">
      <c r="A2" t="s">
        <v>9</v>
      </c>
      <c r="B2" t="s">
        <v>10</v>
      </c>
      <c r="C2" t="s">
        <v>11</v>
      </c>
      <c r="D2" t="s">
        <v>12</v>
      </c>
      <c r="E2" t="s">
        <v>13</v>
      </c>
      <c r="F2">
        <v>20</v>
      </c>
      <c r="H2" t="s">
        <v>14</v>
      </c>
    </row>
    <row r="3" spans="1:9" x14ac:dyDescent="0.2">
      <c r="C3" t="s">
        <v>15</v>
      </c>
      <c r="D3" t="s">
        <v>16</v>
      </c>
      <c r="E3" s="2" t="s">
        <v>17</v>
      </c>
      <c r="F3">
        <v>1</v>
      </c>
    </row>
    <row r="4" spans="1:9" x14ac:dyDescent="0.2">
      <c r="D4" s="2" t="s">
        <v>18</v>
      </c>
      <c r="F4">
        <v>1</v>
      </c>
    </row>
    <row r="5" spans="1:9" x14ac:dyDescent="0.2">
      <c r="C5" t="s">
        <v>19</v>
      </c>
      <c r="D5" t="s">
        <v>20</v>
      </c>
      <c r="F5">
        <v>1</v>
      </c>
    </row>
    <row r="6" spans="1:9" x14ac:dyDescent="0.2">
      <c r="C6" t="s">
        <v>21</v>
      </c>
      <c r="F6">
        <v>1</v>
      </c>
    </row>
    <row r="7" spans="1:9" x14ac:dyDescent="0.2">
      <c r="D7" t="s">
        <v>22</v>
      </c>
      <c r="F7">
        <v>7</v>
      </c>
    </row>
    <row r="8" spans="1:9" x14ac:dyDescent="0.2">
      <c r="B8" s="3"/>
      <c r="C8" s="3"/>
      <c r="D8" s="3" t="s">
        <v>23</v>
      </c>
      <c r="E8" s="3"/>
      <c r="F8" s="3">
        <v>11</v>
      </c>
      <c r="G8" s="3"/>
      <c r="H8" s="3"/>
      <c r="I8" s="3"/>
    </row>
    <row r="9" spans="1:9" x14ac:dyDescent="0.2">
      <c r="B9" t="s">
        <v>24</v>
      </c>
      <c r="D9" t="s">
        <v>12</v>
      </c>
      <c r="E9" t="s">
        <v>13</v>
      </c>
      <c r="F9" s="4">
        <v>4</v>
      </c>
      <c r="G9" s="4"/>
    </row>
    <row r="10" spans="1:9" x14ac:dyDescent="0.2">
      <c r="C10" t="s">
        <v>25</v>
      </c>
      <c r="F10">
        <v>3</v>
      </c>
    </row>
    <row r="11" spans="1:9" x14ac:dyDescent="0.2">
      <c r="C11" t="s">
        <v>21</v>
      </c>
      <c r="D11" t="s">
        <v>26</v>
      </c>
      <c r="F11">
        <v>4</v>
      </c>
    </row>
    <row r="12" spans="1:9" x14ac:dyDescent="0.2">
      <c r="D12" t="s">
        <v>27</v>
      </c>
      <c r="F12">
        <v>1</v>
      </c>
    </row>
    <row r="13" spans="1:9" x14ac:dyDescent="0.2">
      <c r="D13" t="s">
        <v>28</v>
      </c>
      <c r="G13">
        <v>13</v>
      </c>
    </row>
    <row r="14" spans="1:9" x14ac:dyDescent="0.2">
      <c r="B14" s="3"/>
      <c r="C14" s="3"/>
      <c r="D14" s="3" t="s">
        <v>29</v>
      </c>
      <c r="E14" s="3"/>
      <c r="F14" s="3">
        <v>7</v>
      </c>
      <c r="G14" s="3"/>
      <c r="H14" s="3"/>
      <c r="I14" s="3"/>
    </row>
    <row r="15" spans="1:9" x14ac:dyDescent="0.2">
      <c r="B15" t="s">
        <v>30</v>
      </c>
      <c r="C15" t="s">
        <v>11</v>
      </c>
      <c r="D15" s="4" t="s">
        <v>12</v>
      </c>
      <c r="E15" s="4" t="s">
        <v>13</v>
      </c>
      <c r="F15" s="4">
        <v>8</v>
      </c>
      <c r="G15" s="4"/>
    </row>
    <row r="16" spans="1:9" x14ac:dyDescent="0.2">
      <c r="C16" t="s">
        <v>21</v>
      </c>
      <c r="D16" s="4" t="s">
        <v>31</v>
      </c>
      <c r="F16" s="4">
        <v>5</v>
      </c>
      <c r="G16" s="4"/>
    </row>
    <row r="17" spans="1:9" x14ac:dyDescent="0.2">
      <c r="C17" t="s">
        <v>32</v>
      </c>
      <c r="F17">
        <v>2</v>
      </c>
      <c r="I17" t="s">
        <v>33</v>
      </c>
    </row>
    <row r="18" spans="1:9" x14ac:dyDescent="0.2">
      <c r="C18" t="s">
        <v>34</v>
      </c>
      <c r="F18">
        <v>3</v>
      </c>
    </row>
    <row r="19" spans="1:9" x14ac:dyDescent="0.2">
      <c r="B19" s="3"/>
      <c r="C19" s="3"/>
      <c r="D19" s="3" t="s">
        <v>29</v>
      </c>
      <c r="E19" s="3"/>
      <c r="F19" s="3">
        <v>1</v>
      </c>
      <c r="G19" s="3"/>
      <c r="H19" s="3"/>
      <c r="I19" s="3"/>
    </row>
    <row r="20" spans="1:9" x14ac:dyDescent="0.2">
      <c r="B20" s="5" t="s">
        <v>35</v>
      </c>
      <c r="C20" s="5"/>
      <c r="D20" s="5" t="s">
        <v>36</v>
      </c>
      <c r="E20" s="5" t="s">
        <v>37</v>
      </c>
      <c r="F20" s="4">
        <v>1</v>
      </c>
      <c r="G20" s="4"/>
      <c r="H20" s="5"/>
      <c r="I20" s="5"/>
    </row>
    <row r="21" spans="1:9" x14ac:dyDescent="0.2">
      <c r="B21" s="3"/>
      <c r="C21" s="3"/>
      <c r="D21" s="6" t="s">
        <v>12</v>
      </c>
      <c r="E21" s="3"/>
      <c r="F21" s="6">
        <v>3</v>
      </c>
      <c r="G21" s="6"/>
      <c r="H21" s="3"/>
      <c r="I21" s="3"/>
    </row>
    <row r="22" spans="1:9" x14ac:dyDescent="0.2">
      <c r="A22" t="s">
        <v>38</v>
      </c>
      <c r="B22" t="s">
        <v>39</v>
      </c>
      <c r="C22" t="s">
        <v>21</v>
      </c>
      <c r="D22" s="4" t="s">
        <v>26</v>
      </c>
      <c r="F22">
        <v>2</v>
      </c>
    </row>
    <row r="23" spans="1:9" x14ac:dyDescent="0.2">
      <c r="D23" s="4" t="s">
        <v>40</v>
      </c>
      <c r="F23">
        <v>1</v>
      </c>
    </row>
    <row r="24" spans="1:9" x14ac:dyDescent="0.2">
      <c r="B24" s="3"/>
      <c r="C24" s="3"/>
      <c r="D24" s="6" t="s">
        <v>41</v>
      </c>
      <c r="E24" s="3"/>
      <c r="F24" s="3">
        <v>1</v>
      </c>
      <c r="G24" s="3"/>
      <c r="H24" s="3"/>
      <c r="I24" s="3"/>
    </row>
    <row r="25" spans="1:9" x14ac:dyDescent="0.2">
      <c r="B25" t="s">
        <v>42</v>
      </c>
      <c r="C25" t="s">
        <v>21</v>
      </c>
      <c r="F25" s="4">
        <v>1</v>
      </c>
      <c r="G25" s="4"/>
    </row>
    <row r="26" spans="1:9" x14ac:dyDescent="0.2">
      <c r="C26" t="s">
        <v>43</v>
      </c>
      <c r="F26" s="4">
        <v>1</v>
      </c>
      <c r="G26" s="4"/>
    </row>
    <row r="27" spans="1:9" x14ac:dyDescent="0.2">
      <c r="B27" s="3"/>
      <c r="C27" s="3"/>
      <c r="D27" s="3" t="s">
        <v>23</v>
      </c>
      <c r="E27" s="3"/>
      <c r="F27" s="3">
        <v>4</v>
      </c>
      <c r="G27" s="3"/>
      <c r="H27" s="3"/>
      <c r="I27" s="3"/>
    </row>
    <row r="28" spans="1:9" x14ac:dyDescent="0.2">
      <c r="B28" t="s">
        <v>44</v>
      </c>
      <c r="C28" t="s">
        <v>19</v>
      </c>
      <c r="F28" s="4">
        <v>1</v>
      </c>
      <c r="G28" s="4"/>
    </row>
    <row r="29" spans="1:9" x14ac:dyDescent="0.2">
      <c r="C29" t="s">
        <v>45</v>
      </c>
      <c r="F29">
        <v>1</v>
      </c>
    </row>
    <row r="30" spans="1:9" x14ac:dyDescent="0.2">
      <c r="D30" t="s">
        <v>28</v>
      </c>
      <c r="G30">
        <v>3</v>
      </c>
    </row>
    <row r="31" spans="1:9" x14ac:dyDescent="0.2">
      <c r="B31" s="5"/>
      <c r="D31" t="s">
        <v>46</v>
      </c>
      <c r="F31">
        <v>1</v>
      </c>
    </row>
    <row r="32" spans="1:9" x14ac:dyDescent="0.2">
      <c r="B32" s="3"/>
      <c r="C32" s="3"/>
      <c r="D32" s="3" t="s">
        <v>47</v>
      </c>
      <c r="E32" s="3"/>
      <c r="F32" s="3">
        <v>1</v>
      </c>
      <c r="G32" s="3"/>
      <c r="H32" s="3"/>
      <c r="I32" s="3"/>
    </row>
    <row r="33" spans="2:6" x14ac:dyDescent="0.2">
      <c r="B33" s="5" t="s">
        <v>48</v>
      </c>
      <c r="C33" t="s">
        <v>21</v>
      </c>
      <c r="F33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PHYT CODES</vt:lpstr>
      <vt:lpstr>PHYT CLM_1</vt:lpstr>
      <vt:lpstr>PHYT CLM_2</vt:lpstr>
      <vt:lpstr>PHYT CLM_3</vt:lpstr>
      <vt:lpstr>PHYT CLM_4</vt:lpstr>
      <vt:lpstr>PHYT CLM_5 CARPINTERO</vt:lpstr>
      <vt:lpstr>PHYT CLM_6 MILL</vt:lpstr>
      <vt:lpstr>WOOD CHARCOAL</vt:lpstr>
      <vt:lpstr>MACRO</vt:lpstr>
      <vt:lpstr>PHYT COMPARATIVE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2017-04-18T21:14:22Z</dcterms:created>
  <dcterms:modified xsi:type="dcterms:W3CDTF">2017-04-18T21:42:25Z</dcterms:modified>
</cp:coreProperties>
</file>